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 firstSheet="1" activeTab="1"/>
  </bookViews>
  <sheets>
    <sheet name="Регистрация" sheetId="31" r:id="rId1"/>
    <sheet name="Общие результаты" sheetId="24" r:id="rId2"/>
    <sheet name="Лучшие отрезки" sheetId="28" r:id="rId3"/>
    <sheet name="ЛК по картам" sheetId="32" r:id="rId4"/>
    <sheet name="Выбор картов" sheetId="30" r:id="rId5"/>
    <sheet name="Вспомогательный" sheetId="27" r:id="rId6"/>
    <sheet name="Финики " sheetId="16" r:id="rId7"/>
    <sheet name="Ай Молодець!" sheetId="17" r:id="rId8"/>
    <sheet name="Ну погоди!" sheetId="15" r:id="rId9"/>
    <sheet name="Чпок Тим" sheetId="14" r:id="rId10"/>
    <sheet name="Mad Snails team" sheetId="20" r:id="rId11"/>
    <sheet name="M&amp;M`s" sheetId="19" r:id="rId12"/>
    <sheet name="ББМ" sheetId="18" r:id="rId13"/>
    <sheet name="Незнайки" sheetId="22" r:id="rId14"/>
  </sheets>
  <definedNames>
    <definedName name="_xlnm._FilterDatabase" localSheetId="5" hidden="1">Вспомогательный!$B$2:$H$2</definedName>
    <definedName name="_xlnm._FilterDatabase" localSheetId="3" hidden="1">'ЛК по картам'!$B$5:$E$21</definedName>
    <definedName name="_xlnm._FilterDatabase" localSheetId="2" hidden="1">'Лучшие отрезки'!$B$5:$E$21</definedName>
  </definedNames>
  <calcPr calcId="125725"/>
</workbook>
</file>

<file path=xl/calcChain.xml><?xml version="1.0" encoding="utf-8"?>
<calcChain xmlns="http://schemas.openxmlformats.org/spreadsheetml/2006/main">
  <c r="M11" i="19"/>
  <c r="J14" i="22"/>
  <c r="I30" i="30"/>
  <c r="I31"/>
  <c r="I32"/>
  <c r="I33"/>
  <c r="I34"/>
  <c r="I35"/>
  <c r="I29"/>
  <c r="F30"/>
  <c r="F31"/>
  <c r="F32"/>
  <c r="F33"/>
  <c r="F34"/>
  <c r="F35"/>
  <c r="F36"/>
  <c r="F37"/>
  <c r="F38"/>
  <c r="F29"/>
  <c r="I18"/>
  <c r="I19"/>
  <c r="I20"/>
  <c r="I21"/>
  <c r="I22"/>
  <c r="I23"/>
  <c r="I24"/>
  <c r="I17"/>
  <c r="I25" s="1"/>
  <c r="F18"/>
  <c r="F19"/>
  <c r="F20"/>
  <c r="F21"/>
  <c r="F22"/>
  <c r="F23"/>
  <c r="F24"/>
  <c r="F17"/>
  <c r="L18"/>
  <c r="L19"/>
  <c r="L20"/>
  <c r="L21"/>
  <c r="L22"/>
  <c r="L23"/>
  <c r="L24"/>
  <c r="L17"/>
  <c r="F6"/>
  <c r="F7"/>
  <c r="F8"/>
  <c r="F9"/>
  <c r="F10"/>
  <c r="F11"/>
  <c r="F12"/>
  <c r="F5"/>
  <c r="L6"/>
  <c r="L7"/>
  <c r="L8"/>
  <c r="L9"/>
  <c r="L10"/>
  <c r="L11"/>
  <c r="L12"/>
  <c r="L5"/>
  <c r="I6"/>
  <c r="I7"/>
  <c r="I8"/>
  <c r="I9"/>
  <c r="I10"/>
  <c r="I11"/>
  <c r="I12"/>
  <c r="I5"/>
  <c r="B18"/>
  <c r="K19" i="32"/>
  <c r="F42" i="27"/>
  <c r="F60"/>
  <c r="F54"/>
  <c r="F28"/>
  <c r="F41"/>
  <c r="F66"/>
  <c r="F24"/>
  <c r="H11" i="15"/>
  <c r="F39" i="30" l="1"/>
  <c r="F36" i="27" l="1"/>
  <c r="F33"/>
  <c r="F3"/>
  <c r="F9"/>
  <c r="F71"/>
  <c r="F26"/>
  <c r="F14"/>
  <c r="F4"/>
  <c r="F20"/>
  <c r="F7"/>
  <c r="F70"/>
  <c r="F22"/>
  <c r="F6"/>
  <c r="F58"/>
  <c r="F72"/>
  <c r="F11"/>
  <c r="F45"/>
  <c r="F51"/>
  <c r="F61"/>
  <c r="F15"/>
  <c r="F55"/>
  <c r="F38"/>
  <c r="F50"/>
  <c r="F31"/>
  <c r="F68"/>
  <c r="F32"/>
  <c r="F69"/>
  <c r="F39"/>
  <c r="F52"/>
  <c r="F64"/>
  <c r="F67"/>
  <c r="F44"/>
  <c r="F49"/>
  <c r="F63"/>
  <c r="F8"/>
  <c r="F29"/>
  <c r="F37"/>
  <c r="F27"/>
  <c r="F59"/>
  <c r="F16"/>
  <c r="F21"/>
  <c r="F57"/>
  <c r="F53"/>
  <c r="F12"/>
  <c r="F40"/>
  <c r="F10"/>
  <c r="F18"/>
  <c r="F62"/>
  <c r="F5"/>
  <c r="F25"/>
  <c r="F56"/>
  <c r="F35"/>
  <c r="F47"/>
  <c r="F34"/>
  <c r="F43"/>
  <c r="F48"/>
  <c r="F65"/>
  <c r="F23"/>
  <c r="F13"/>
  <c r="F46"/>
  <c r="F19"/>
  <c r="F30"/>
  <c r="F73"/>
  <c r="F17"/>
  <c r="H14" i="22" l="1"/>
  <c r="F14"/>
  <c r="F12"/>
  <c r="F11"/>
  <c r="L11" s="1"/>
  <c r="L10"/>
  <c r="F10"/>
  <c r="F9"/>
  <c r="F8"/>
  <c r="F7"/>
  <c r="F6"/>
  <c r="F16" i="18"/>
  <c r="F15"/>
  <c r="F14"/>
  <c r="F13"/>
  <c r="F12"/>
  <c r="F11"/>
  <c r="F10"/>
  <c r="F9"/>
  <c r="F8"/>
  <c r="L8" s="1"/>
  <c r="F7"/>
  <c r="F6"/>
  <c r="F10" i="15"/>
  <c r="L13" i="18"/>
  <c r="L14"/>
  <c r="J13"/>
  <c r="J14"/>
  <c r="J15"/>
  <c r="H13"/>
  <c r="H14"/>
  <c r="H15"/>
  <c r="H16"/>
  <c r="F13" i="19"/>
  <c r="F12"/>
  <c r="F11"/>
  <c r="F10"/>
  <c r="F9"/>
  <c r="F10" i="16"/>
  <c r="F8" i="19"/>
  <c r="F7"/>
  <c r="F6"/>
  <c r="F14" s="1"/>
  <c r="F13" i="17"/>
  <c r="F11"/>
  <c r="F8"/>
  <c r="F10"/>
  <c r="F13" i="20"/>
  <c r="F12"/>
  <c r="F11"/>
  <c r="F10"/>
  <c r="F9"/>
  <c r="F8"/>
  <c r="F7"/>
  <c r="F6"/>
  <c r="F13" i="14"/>
  <c r="F12"/>
  <c r="F11"/>
  <c r="F10"/>
  <c r="F9"/>
  <c r="F8"/>
  <c r="F7"/>
  <c r="F6"/>
  <c r="F12" i="17" l="1"/>
  <c r="F9"/>
  <c r="F7"/>
  <c r="F6"/>
  <c r="F15" i="16"/>
  <c r="F14"/>
  <c r="F13"/>
  <c r="F12"/>
  <c r="F11"/>
  <c r="F9"/>
  <c r="F8"/>
  <c r="F7"/>
  <c r="F6"/>
  <c r="L6" s="1"/>
  <c r="L12"/>
  <c r="F15" i="15"/>
  <c r="F14"/>
  <c r="F13"/>
  <c r="L13" s="1"/>
  <c r="F12"/>
  <c r="L12" s="1"/>
  <c r="F11"/>
  <c r="J11"/>
  <c r="J10"/>
  <c r="H10"/>
  <c r="F9"/>
  <c r="L9" s="1"/>
  <c r="F8"/>
  <c r="J8"/>
  <c r="L8"/>
  <c r="F7"/>
  <c r="F6"/>
  <c r="L6" s="1"/>
  <c r="K8"/>
  <c r="E13" i="32"/>
  <c r="K10"/>
  <c r="K13"/>
  <c r="E19"/>
  <c r="K21"/>
  <c r="K16"/>
  <c r="E16"/>
  <c r="K24"/>
  <c r="K7"/>
  <c r="E10"/>
  <c r="E7"/>
  <c r="E22"/>
  <c r="L6" i="17"/>
  <c r="H6" i="18"/>
  <c r="L7" i="15"/>
  <c r="J7" i="20"/>
  <c r="J7" i="15"/>
  <c r="J12"/>
  <c r="I37" i="30"/>
  <c r="F13"/>
  <c r="H12" i="22"/>
  <c r="H10"/>
  <c r="H9"/>
  <c r="H8"/>
  <c r="H7"/>
  <c r="H6"/>
  <c r="H13" i="20"/>
  <c r="H12"/>
  <c r="H11"/>
  <c r="H10"/>
  <c r="H9"/>
  <c r="H8"/>
  <c r="H7"/>
  <c r="H6"/>
  <c r="H12" i="18"/>
  <c r="H11"/>
  <c r="H10"/>
  <c r="H8"/>
  <c r="H7"/>
  <c r="H13" i="14"/>
  <c r="H12"/>
  <c r="H11"/>
  <c r="H10"/>
  <c r="H9"/>
  <c r="H8"/>
  <c r="H7"/>
  <c r="H6"/>
  <c r="H13" i="17"/>
  <c r="H12"/>
  <c r="H11"/>
  <c r="H10"/>
  <c r="H9"/>
  <c r="H8"/>
  <c r="H7"/>
  <c r="H6"/>
  <c r="H13" i="19"/>
  <c r="H12"/>
  <c r="H11"/>
  <c r="H10"/>
  <c r="H9"/>
  <c r="H8"/>
  <c r="H7"/>
  <c r="H6"/>
  <c r="H15" i="15"/>
  <c r="H13"/>
  <c r="H12"/>
  <c r="H8"/>
  <c r="H7"/>
  <c r="H6"/>
  <c r="H15" i="16"/>
  <c r="H14"/>
  <c r="H12"/>
  <c r="H11"/>
  <c r="H10"/>
  <c r="H9"/>
  <c r="H8"/>
  <c r="H6"/>
  <c r="L12" i="22"/>
  <c r="L6"/>
  <c r="J12" i="14"/>
  <c r="L14" i="22"/>
  <c r="E15"/>
  <c r="J12"/>
  <c r="J10"/>
  <c r="J9"/>
  <c r="L9"/>
  <c r="J8"/>
  <c r="K8" s="1"/>
  <c r="L8"/>
  <c r="M12" s="1"/>
  <c r="J7"/>
  <c r="K7"/>
  <c r="L7"/>
  <c r="M11" s="1"/>
  <c r="J6"/>
  <c r="K6" s="1"/>
  <c r="F15"/>
  <c r="L13" i="20"/>
  <c r="L12"/>
  <c r="L11"/>
  <c r="L6"/>
  <c r="E14"/>
  <c r="J13"/>
  <c r="J12"/>
  <c r="J11"/>
  <c r="L10"/>
  <c r="J10"/>
  <c r="L9"/>
  <c r="J9"/>
  <c r="K9" s="1"/>
  <c r="J8"/>
  <c r="K8" s="1"/>
  <c r="L7"/>
  <c r="K7"/>
  <c r="J6"/>
  <c r="K6"/>
  <c r="L13" i="19"/>
  <c r="L12"/>
  <c r="L11"/>
  <c r="L10"/>
  <c r="E14"/>
  <c r="J13"/>
  <c r="J12"/>
  <c r="J11"/>
  <c r="J10"/>
  <c r="L9"/>
  <c r="J9"/>
  <c r="J8"/>
  <c r="K8" s="1"/>
  <c r="L7"/>
  <c r="J7"/>
  <c r="K7" s="1"/>
  <c r="L6"/>
  <c r="J6"/>
  <c r="K6" s="1"/>
  <c r="L16" i="18"/>
  <c r="L15"/>
  <c r="L12"/>
  <c r="L11"/>
  <c r="L6"/>
  <c r="E17"/>
  <c r="J16"/>
  <c r="J12"/>
  <c r="J11"/>
  <c r="L10"/>
  <c r="J10"/>
  <c r="J8"/>
  <c r="K8" s="1"/>
  <c r="L7"/>
  <c r="J7"/>
  <c r="K7" s="1"/>
  <c r="J6"/>
  <c r="K6" s="1"/>
  <c r="L13" i="17"/>
  <c r="L12"/>
  <c r="L11"/>
  <c r="L10"/>
  <c r="L9"/>
  <c r="L8"/>
  <c r="L7"/>
  <c r="E14"/>
  <c r="J13"/>
  <c r="J12"/>
  <c r="J11"/>
  <c r="J10"/>
  <c r="J9"/>
  <c r="J8"/>
  <c r="J7"/>
  <c r="K7" s="1"/>
  <c r="K9" s="1"/>
  <c r="J6"/>
  <c r="K6" s="1"/>
  <c r="L15" i="16"/>
  <c r="L14"/>
  <c r="L11"/>
  <c r="E16"/>
  <c r="J15"/>
  <c r="J14"/>
  <c r="J12"/>
  <c r="L13"/>
  <c r="J11"/>
  <c r="J10"/>
  <c r="K10" s="1"/>
  <c r="L10"/>
  <c r="J9"/>
  <c r="K9" s="1"/>
  <c r="L9"/>
  <c r="J8"/>
  <c r="K8" s="1"/>
  <c r="L8"/>
  <c r="J6"/>
  <c r="K6" s="1"/>
  <c r="L15" i="15"/>
  <c r="E16"/>
  <c r="J15"/>
  <c r="J13"/>
  <c r="L14"/>
  <c r="L11"/>
  <c r="L10"/>
  <c r="J6"/>
  <c r="K6" s="1"/>
  <c r="L12" i="14"/>
  <c r="J13"/>
  <c r="L11"/>
  <c r="L8"/>
  <c r="L7"/>
  <c r="E14"/>
  <c r="L13"/>
  <c r="J11"/>
  <c r="J10"/>
  <c r="L10"/>
  <c r="J9"/>
  <c r="L9"/>
  <c r="J8"/>
  <c r="K8" s="1"/>
  <c r="J7"/>
  <c r="K7" s="1"/>
  <c r="J6"/>
  <c r="K6" s="1"/>
  <c r="F14" i="20"/>
  <c r="L8"/>
  <c r="L8" i="19"/>
  <c r="M13" s="1"/>
  <c r="F17" i="18"/>
  <c r="L9"/>
  <c r="F14" i="17"/>
  <c r="F16" i="16"/>
  <c r="F14" i="14"/>
  <c r="L7" i="16"/>
  <c r="L6" i="14"/>
  <c r="M12" s="1"/>
  <c r="P15" i="30" l="1"/>
  <c r="P19"/>
  <c r="K11" i="19"/>
  <c r="K9" i="14"/>
  <c r="K11" s="1"/>
  <c r="K13" s="1"/>
  <c r="M14" i="18"/>
  <c r="K10"/>
  <c r="K13" s="1"/>
  <c r="M15"/>
  <c r="K9" i="19"/>
  <c r="K13" s="1"/>
  <c r="K10"/>
  <c r="K9" i="22"/>
  <c r="P21" i="30"/>
  <c r="L25"/>
  <c r="P17" s="1"/>
  <c r="F25"/>
  <c r="P13" s="1"/>
  <c r="L13"/>
  <c r="P11" s="1"/>
  <c r="I13"/>
  <c r="K12" i="22"/>
  <c r="K14"/>
  <c r="K10"/>
  <c r="M14"/>
  <c r="M16" i="18"/>
  <c r="K12"/>
  <c r="K15" s="1"/>
  <c r="K11"/>
  <c r="K14" s="1"/>
  <c r="K16"/>
  <c r="M14" i="15"/>
  <c r="M12" i="19"/>
  <c r="O13" s="1"/>
  <c r="K12"/>
  <c r="M13" i="20"/>
  <c r="M12"/>
  <c r="K11"/>
  <c r="K13" s="1"/>
  <c r="K10"/>
  <c r="K12" s="1"/>
  <c r="M13" i="14"/>
  <c r="K10"/>
  <c r="K12" s="1"/>
  <c r="M13" i="17"/>
  <c r="M12"/>
  <c r="K12"/>
  <c r="K8"/>
  <c r="K10" s="1"/>
  <c r="K11" s="1"/>
  <c r="K13" s="1"/>
  <c r="M14" i="16"/>
  <c r="M15"/>
  <c r="K12"/>
  <c r="K11"/>
  <c r="K14" s="1"/>
  <c r="K15" s="1"/>
  <c r="K7" i="15"/>
  <c r="K10" s="1"/>
  <c r="K11" s="1"/>
  <c r="K13" s="1"/>
  <c r="F16"/>
  <c r="M15"/>
  <c r="K12"/>
  <c r="K15" s="1"/>
  <c r="Q21" i="30" l="1"/>
  <c r="P9"/>
  <c r="Q9" s="1"/>
  <c r="Q13"/>
  <c r="Q11"/>
  <c r="Q15"/>
  <c r="Q19"/>
  <c r="P7"/>
  <c r="Q17"/>
</calcChain>
</file>

<file path=xl/comments1.xml><?xml version="1.0" encoding="utf-8"?>
<comments xmlns="http://schemas.openxmlformats.org/spreadsheetml/2006/main">
  <authors>
    <author>NFS</author>
  </authors>
  <commentList>
    <comment ref="G6" authorId="0">
      <text>
        <r>
          <rPr>
            <sz val="8"/>
            <color indexed="81"/>
            <rFont val="Tahoma"/>
            <family val="2"/>
            <charset val="204"/>
          </rPr>
          <t>штраф 5 секунд за выезд с пита в запрещенное время</t>
        </r>
      </text>
    </comment>
    <comment ref="G8" authorId="0">
      <text>
        <r>
          <rPr>
            <sz val="8"/>
            <color indexed="81"/>
            <rFont val="Tahoma"/>
            <family val="2"/>
            <charset val="204"/>
          </rPr>
          <t>штрафы: 10 секунд за разворот команды "Ай, Молодець!" и 5 секунд пит-стоп в запрещенное время</t>
        </r>
      </text>
    </comment>
    <comment ref="G13" authorId="0">
      <text>
        <r>
          <rPr>
            <b/>
            <sz val="9"/>
            <color indexed="81"/>
            <rFont val="Tahoma"/>
            <family val="2"/>
            <charset val="204"/>
          </rPr>
          <t>10 кругов штраф за 1 не сделанный пит стоп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G6" authorId="0">
      <text>
        <r>
          <rPr>
            <sz val="9"/>
            <color indexed="81"/>
            <rFont val="Tahoma"/>
            <family val="2"/>
            <charset val="204"/>
          </rPr>
          <t>поломка</t>
        </r>
      </text>
    </comment>
    <comment ref="F8" authorId="0">
      <text>
        <r>
          <rPr>
            <b/>
            <sz val="9"/>
            <color indexed="81"/>
            <rFont val="Tahoma"/>
            <family val="2"/>
            <charset val="204"/>
          </rPr>
          <t>54,49 - врезался при выезде с пита. Без него было бы 40,24</t>
        </r>
      </text>
    </comment>
    <comment ref="F9" authorId="0">
      <text>
        <r>
          <rPr>
            <b/>
            <sz val="9"/>
            <color indexed="81"/>
            <rFont val="Tahoma"/>
            <family val="2"/>
            <charset val="204"/>
          </rPr>
          <t>54,4 - вылет на траву возле пит стопа. Без него было бы 39,689</t>
        </r>
      </text>
    </comment>
    <comment ref="G12" authorId="0">
      <text>
        <r>
          <rPr>
            <b/>
            <sz val="9"/>
            <color indexed="81"/>
            <rFont val="Tahoma"/>
            <family val="2"/>
            <charset val="204"/>
          </rPr>
          <t>поломка</t>
        </r>
      </text>
    </comment>
  </commentList>
</comments>
</file>

<file path=xl/comments3.xml><?xml version="1.0" encoding="utf-8"?>
<comments xmlns="http://schemas.openxmlformats.org/spreadsheetml/2006/main">
  <authors>
    <author>NFS</author>
  </authors>
  <commentList>
    <comment ref="F13" authorId="0">
      <text>
        <r>
          <rPr>
            <sz val="9"/>
            <color indexed="81"/>
            <rFont val="Tahoma"/>
            <family val="2"/>
            <charset val="204"/>
          </rPr>
          <t>48,60 - разворот. Без него было бы 40,454</t>
        </r>
      </text>
    </comment>
  </commentList>
</comments>
</file>

<file path=xl/comments4.xml><?xml version="1.0" encoding="utf-8"?>
<comments xmlns="http://schemas.openxmlformats.org/spreadsheetml/2006/main">
  <authors>
    <author>NFS</author>
  </authors>
  <commentList>
    <comment ref="G8" authorId="0">
      <text>
        <r>
          <rPr>
            <b/>
            <sz val="9"/>
            <color indexed="81"/>
            <rFont val="Tahoma"/>
            <family val="2"/>
            <charset val="204"/>
          </rPr>
          <t>поломка</t>
        </r>
      </text>
    </comment>
    <comment ref="F9" authorId="0">
      <text>
        <r>
          <rPr>
            <b/>
            <sz val="9"/>
            <color indexed="81"/>
            <rFont val="Tahoma"/>
            <family val="2"/>
            <charset val="204"/>
          </rPr>
          <t>47,51 - столкновение, без него было бы 39,825</t>
        </r>
      </text>
    </comment>
    <comment ref="F11" authorId="0">
      <text>
        <r>
          <rPr>
            <b/>
            <sz val="9"/>
            <color indexed="81"/>
            <rFont val="Tahoma"/>
            <family val="2"/>
            <charset val="204"/>
          </rPr>
          <t>47,84 - замес? без него было бы 39,804</t>
        </r>
      </text>
    </comment>
    <comment ref="G13" authorId="0">
      <text>
        <r>
          <rPr>
            <b/>
            <sz val="9"/>
            <color indexed="81"/>
            <rFont val="Tahoma"/>
            <family val="2"/>
            <charset val="204"/>
          </rPr>
          <t>поломка</t>
        </r>
      </text>
    </comment>
  </commentList>
</comments>
</file>

<file path=xl/sharedStrings.xml><?xml version="1.0" encoding="utf-8"?>
<sst xmlns="http://schemas.openxmlformats.org/spreadsheetml/2006/main" count="820" uniqueCount="204">
  <si>
    <t>всего у пилота</t>
  </si>
  <si>
    <t>отрезок</t>
  </si>
  <si>
    <t>Пилот</t>
  </si>
  <si>
    <t>Команда</t>
  </si>
  <si>
    <t>Контрольная таблица пит стопов команд</t>
  </si>
  <si>
    <t>Карт №</t>
  </si>
  <si>
    <t>КОМАНДА</t>
  </si>
  <si>
    <t>№ пит стопа</t>
  </si>
  <si>
    <t>№</t>
  </si>
  <si>
    <t>№ ком</t>
  </si>
  <si>
    <t>Вес</t>
  </si>
  <si>
    <t>Регистрационная форма</t>
  </si>
  <si>
    <t>Довес</t>
  </si>
  <si>
    <t>Финиш</t>
  </si>
  <si>
    <t>Время на трассе (мин)</t>
  </si>
  <si>
    <t>Чпок Тим</t>
  </si>
  <si>
    <t>Бахмацкий Олег</t>
  </si>
  <si>
    <t>Финики</t>
  </si>
  <si>
    <t>Шендрик Влад</t>
  </si>
  <si>
    <t>Петушков Андрей</t>
  </si>
  <si>
    <t>Тыщенко Миша</t>
  </si>
  <si>
    <t>Хавило Дима</t>
  </si>
  <si>
    <t>Горошко Игорь</t>
  </si>
  <si>
    <t>Наум</t>
  </si>
  <si>
    <t>Манило Денис</t>
  </si>
  <si>
    <t>Пикулин Паша</t>
  </si>
  <si>
    <t>2-1</t>
  </si>
  <si>
    <t>2-2</t>
  </si>
  <si>
    <t>3-1</t>
  </si>
  <si>
    <t>3-2</t>
  </si>
  <si>
    <t>4-1</t>
  </si>
  <si>
    <t>4-2</t>
  </si>
  <si>
    <t>5-1</t>
  </si>
  <si>
    <t>5-2</t>
  </si>
  <si>
    <t>7-1</t>
  </si>
  <si>
    <t>7-2</t>
  </si>
  <si>
    <t>8-1</t>
  </si>
  <si>
    <t>8-2</t>
  </si>
  <si>
    <t>-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</si>
  <si>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</si>
  <si>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</si>
  <si>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</si>
  <si>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</si>
  <si>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</si>
  <si>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</si>
  <si>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</si>
  <si>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</si>
  <si>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</si>
  <si>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ФИНИКИ</t>
  </si>
  <si>
    <t>Сред. время круга на отрезке (без пита и поломок)</t>
  </si>
  <si>
    <t>Общее время гонки (на часах)</t>
  </si>
  <si>
    <t>Олег</t>
  </si>
  <si>
    <t>Игорь</t>
  </si>
  <si>
    <t>Андрей</t>
  </si>
  <si>
    <t>Дима</t>
  </si>
  <si>
    <t>M&amp;M`s</t>
  </si>
  <si>
    <t>5</t>
  </si>
  <si>
    <t>11</t>
  </si>
  <si>
    <t>Незнайки</t>
  </si>
  <si>
    <t>Кочмарев Юра</t>
  </si>
  <si>
    <t>НЛО</t>
  </si>
  <si>
    <t>MST</t>
  </si>
  <si>
    <t>НЕЗНАЙКИ</t>
  </si>
  <si>
    <t>Сергей</t>
  </si>
  <si>
    <t>Лучший круг</t>
  </si>
  <si>
    <t>Круг заезда на пит</t>
  </si>
  <si>
    <t>Кругов на отрезке</t>
  </si>
  <si>
    <t>Стабильность пилота</t>
  </si>
  <si>
    <t>на отрезке</t>
  </si>
  <si>
    <t>в гонке</t>
  </si>
  <si>
    <t>Ну, Погоди!</t>
  </si>
  <si>
    <t>№ п/п</t>
  </si>
  <si>
    <t>ЛК</t>
  </si>
  <si>
    <t>Ср. круг</t>
  </si>
  <si>
    <t>Стабил-ть</t>
  </si>
  <si>
    <t>Карт</t>
  </si>
  <si>
    <t>Кругов</t>
  </si>
  <si>
    <t>M&amp;M's</t>
  </si>
  <si>
    <t>Mad Snails Team</t>
  </si>
  <si>
    <t>Лучшие круги в гонке на отрезках, топ 15</t>
  </si>
  <si>
    <t>Лучшие отрезки (средний круг), топ 15</t>
  </si>
  <si>
    <t>Лучшая стабильность* на отрезке, топ 15</t>
  </si>
  <si>
    <t>Средний круг</t>
  </si>
  <si>
    <t>Стабиль-ность</t>
  </si>
  <si>
    <t>Лучший круг пилота в своей команде</t>
  </si>
  <si>
    <t>Лучший круг у данного пилота за гонку</t>
  </si>
  <si>
    <t>* считается как разница между средним и лучшим кругом</t>
  </si>
  <si>
    <t>Средний ЛК</t>
  </si>
  <si>
    <t>Рейтинг картов</t>
  </si>
  <si>
    <t>Результат</t>
  </si>
  <si>
    <t>Карты</t>
  </si>
  <si>
    <t>Отрезки</t>
  </si>
  <si>
    <t>Потери</t>
  </si>
  <si>
    <t>Потери от лидера</t>
  </si>
  <si>
    <t>Всего, сек</t>
  </si>
  <si>
    <t>Среднее</t>
  </si>
  <si>
    <t>Стецык Сергей</t>
  </si>
  <si>
    <t>Члечко Сергей</t>
  </si>
  <si>
    <t>1-1</t>
  </si>
  <si>
    <t>80</t>
  </si>
  <si>
    <t>1-2</t>
  </si>
  <si>
    <t>75</t>
  </si>
  <si>
    <t>66</t>
  </si>
  <si>
    <t>14</t>
  </si>
  <si>
    <t>6-1</t>
  </si>
  <si>
    <t>76</t>
  </si>
  <si>
    <t>4</t>
  </si>
  <si>
    <t>6-2</t>
  </si>
  <si>
    <t>99</t>
  </si>
  <si>
    <t>81</t>
  </si>
  <si>
    <t>69</t>
  </si>
  <si>
    <t>Влад</t>
  </si>
  <si>
    <t>Миша</t>
  </si>
  <si>
    <t>Юра</t>
  </si>
  <si>
    <t>переехал</t>
  </si>
  <si>
    <t>Марафон "Сорвиголовы 2014", 10.08.14</t>
  </si>
  <si>
    <t>Ай, молодець!</t>
  </si>
  <si>
    <t>Лучшие круги по картам, топ 3</t>
  </si>
  <si>
    <t>Ай, Молодець!</t>
  </si>
  <si>
    <t>1-3</t>
  </si>
  <si>
    <t>Литвиненко Дима</t>
  </si>
  <si>
    <t>Гаврилюк Олег</t>
  </si>
  <si>
    <t>64</t>
  </si>
  <si>
    <t>16</t>
  </si>
  <si>
    <t>ББМ</t>
  </si>
  <si>
    <t>Башкиров Денис</t>
  </si>
  <si>
    <t>8-3</t>
  </si>
  <si>
    <t>Буркацкий Саша</t>
  </si>
  <si>
    <t>Мельник Денис</t>
  </si>
  <si>
    <t>Ну, погоди</t>
  </si>
  <si>
    <t>74</t>
  </si>
  <si>
    <t>6</t>
  </si>
  <si>
    <t>67</t>
  </si>
  <si>
    <t>13</t>
  </si>
  <si>
    <t>61</t>
  </si>
  <si>
    <t>9</t>
  </si>
  <si>
    <t>Соколан Артем</t>
  </si>
  <si>
    <t>Марафон-чемпионат "Сорвиголовы 2014", 5-й этап</t>
  </si>
  <si>
    <t>4:00:28</t>
  </si>
  <si>
    <t>1 круг</t>
  </si>
  <si>
    <t>10 кругов</t>
  </si>
  <si>
    <t>16 кругов</t>
  </si>
  <si>
    <t>70</t>
  </si>
  <si>
    <t>10</t>
  </si>
  <si>
    <t>Марафон "Сорвиголовы 2014", 30.08.14</t>
  </si>
  <si>
    <t>15</t>
  </si>
  <si>
    <t>объедененные ячейки у пилота означают поломку (для более детальной статистики)</t>
  </si>
  <si>
    <t>1</t>
  </si>
  <si>
    <t>2</t>
  </si>
  <si>
    <t>88</t>
  </si>
  <si>
    <t>7</t>
  </si>
  <si>
    <t>3</t>
  </si>
  <si>
    <t>пит-стоп закрывается в 3:45:00</t>
  </si>
  <si>
    <t>Артем</t>
  </si>
  <si>
    <t>MАD SNAILS TEAM</t>
  </si>
  <si>
    <t>Манило Денис 1</t>
  </si>
  <si>
    <t>Манило Денис 2</t>
  </si>
  <si>
    <t>Паша</t>
  </si>
  <si>
    <t>Денис 1</t>
  </si>
  <si>
    <t>Денис 2</t>
  </si>
  <si>
    <r>
      <rPr>
        <b/>
        <sz val="12"/>
        <color indexed="8"/>
        <rFont val="Calibri"/>
        <family val="2"/>
        <charset val="204"/>
      </rPr>
      <t>3</t>
    </r>
    <r>
      <rPr>
        <sz val="12"/>
        <color indexed="8"/>
        <rFont val="Calibri"/>
        <family val="2"/>
        <charset val="204"/>
      </rPr>
      <t>/12</t>
    </r>
  </si>
  <si>
    <t>Денис</t>
  </si>
  <si>
    <t>Денис Б</t>
  </si>
  <si>
    <t>Денис М</t>
  </si>
  <si>
    <t>Саша</t>
  </si>
  <si>
    <t>12</t>
  </si>
  <si>
    <t>Литвинчук Дима</t>
  </si>
  <si>
    <t>РЕЗУЛЬТАТЫ марафона "Сорвиголовы 2014", 5-й этап, 30.08.14</t>
  </si>
  <si>
    <t>Конфигурация #7</t>
  </si>
  <si>
    <t xml:space="preserve">Манило Денис </t>
  </si>
  <si>
    <t>Успешность стратегии команд в выборе картов на 5-м этапе Сорвиголов (на основании ЛК по картам)</t>
  </si>
  <si>
    <r>
      <rPr>
        <b/>
        <sz val="14"/>
        <color indexed="8"/>
        <rFont val="Calibri"/>
        <family val="2"/>
        <charset val="204"/>
      </rPr>
      <t>Топ 15 лучших кругов показаны на 6 разных картах</t>
    </r>
    <r>
      <rPr>
        <sz val="14"/>
        <color indexed="8"/>
        <rFont val="Calibri"/>
        <family val="2"/>
        <charset val="204"/>
      </rPr>
      <t>. При этом карты №3 и 88 представлены по 4 раза.</t>
    </r>
  </si>
  <si>
    <r>
      <t xml:space="preserve">В то же время в списке всего 7 пилотов из 5-и команд. В полном составе представлены Финики и </t>
    </r>
    <r>
      <rPr>
        <u/>
        <sz val="14"/>
        <color indexed="8"/>
        <rFont val="Calibri"/>
        <family val="2"/>
        <charset val="204"/>
      </rPr>
      <t>Ну, Погоди!</t>
    </r>
    <r>
      <rPr>
        <sz val="14"/>
        <color indexed="8"/>
        <rFont val="Calibri"/>
        <family val="2"/>
        <charset val="204"/>
      </rPr>
      <t xml:space="preserve">, причем последние </t>
    </r>
    <r>
      <rPr>
        <u/>
        <sz val="14"/>
        <color indexed="8"/>
        <rFont val="Calibri"/>
        <family val="2"/>
        <charset val="204"/>
      </rPr>
      <t>представлены 7 из 8 своих отрезков!!!</t>
    </r>
  </si>
  <si>
    <t>Нельзя не отметить очень сильную езду напарников сеянных пилотов команд-лидеров чемпа - Дима Хавило занял 2 из 3х верхних строчек, а Наум впервые трижды представлен в таблице.</t>
  </si>
  <si>
    <r>
      <t xml:space="preserve">В отличие от прошлого этапа </t>
    </r>
    <r>
      <rPr>
        <b/>
        <sz val="14"/>
        <color indexed="8"/>
        <rFont val="Calibri"/>
        <family val="2"/>
        <charset val="204"/>
      </rPr>
      <t>Топ 15 лучших отрезков</t>
    </r>
    <r>
      <rPr>
        <sz val="14"/>
        <color indexed="8"/>
        <rFont val="Calibri"/>
        <family val="2"/>
        <charset val="204"/>
      </rPr>
      <t xml:space="preserve"> не так сильно коррелируют с Топ 15 лучших кругов.  И здесь становится видно в чем Финики обыграли конкурентов.</t>
    </r>
  </si>
  <si>
    <t>Они представлены 5 отрезками, тогда как Ну, Погоди! Лишь 4-мя. Кроме двух команд-фаворитов, в Топ 15 по главному показателю скорости попали по 2 раза Шендрик Влад, Манило Денис и Стецык Сергей.</t>
  </si>
  <si>
    <t xml:space="preserve">Что касается стабильности, то здесь преимущество Фиников становится подавляющим. Они представлены 5 раз, причем трижды в Топ 5 результатах. Ближайшие конкуренты - Ну, Погоди! и Чпок тим - лишь по 3 раза. </t>
  </si>
  <si>
    <t xml:space="preserve">Нельзя не отметить Петушкова Андрея, засветившегося по 1 разу в таблицах Лучших кругов и Стабильности, причем на разных картах. Вероятно, в первую очередь его скорость обеспечила </t>
  </si>
  <si>
    <t>рекордно высокий результат MST за всю историю их выступлений.</t>
  </si>
  <si>
    <t>Анализируя лишь сухие цифры (на самом этапе меня не было), сразу бросается в глаза большой разброс</t>
  </si>
  <si>
    <t>по времени круга - 0,9 между лучшей и худшей машинами. Однако при ближайшем рассмотрении видно,</t>
  </si>
  <si>
    <t>помещаются в традиционные 6-7 десятых.</t>
  </si>
  <si>
    <t>Среди всех картов можно выделить 3 ракеты, которые ехали практически одинаково и очень быстро.</t>
  </si>
  <si>
    <t>Это карты №3, 88 и 1.</t>
  </si>
  <si>
    <t>Еще 7 картов проигрывали тройке быстрейших 0,2-0,5 сек, что делало их вполне конкурентноспособными.</t>
  </si>
  <si>
    <t xml:space="preserve">И лишь попадание на карты №4 и 12,  а также №10, ехавший часть гонки, могло привести к </t>
  </si>
  <si>
    <t>ощутимым потерям времени для команды.</t>
  </si>
  <si>
    <t xml:space="preserve">что дело в 2-х картах - №4 и №12 - которые сильно отставали от других. Остальные карты </t>
  </si>
  <si>
    <t>5-й этап оказался в своем роде уникальным - на моей памяти такой плотности результатов и такого количества ошибок</t>
  </si>
  <si>
    <t xml:space="preserve">у лидирующих команд не было. </t>
  </si>
  <si>
    <t>Это открыло великолепные шансы для некоторых команд занять максимально высокие места на подиуме.</t>
  </si>
  <si>
    <t xml:space="preserve">В первую очередь ими воспользовались Ай, Молодцы!, которые заняли второе место и по ходу гонки могли бороться за победу. </t>
  </si>
  <si>
    <t>При этом по среднему лучшему кругу, равно как и по среднему времени на отрезке они стали лишь 6-ми (!!!).</t>
  </si>
  <si>
    <t>MST также смогли воспользоваться ситуацией, со своей стороны избежав явных ошибок, завалов на трассе и судейских штрафов.</t>
  </si>
  <si>
    <t>И хоть закончили они гонку лишь 5-ми, но отставание всего в 1 круг от победителей стало лучшим результатом команды</t>
  </si>
  <si>
    <t>за всю историю ее выступлений в марафонах.</t>
  </si>
  <si>
    <t>Напротивагу, этап стал большим разочарованием для Ну, Погоди! Их лучшее среднее время на отрезках оказалось полностью</t>
  </si>
  <si>
    <t>нивелировано другими факторами - в первую очередь поломками и несогласованными действиями на пит стопе.</t>
  </si>
  <si>
    <t>Больших сюрпризов в стратегии не произошло. Первая тройка в гонке имела лучшую стратегию. Правда стали не только быстрейшими на этапе, но и имели лучшую стратегию.</t>
  </si>
  <si>
    <t>А место оказалось лишь 3-е.</t>
  </si>
  <si>
    <t>Из опытных команд провальной можно назвать лишь стратегию Чпок тим. Ребята проиграли больше круга победителям. А с учетом отставания в 1 круг от лидера, можно с</t>
  </si>
  <si>
    <t>уверенностью утверждать, что именно в стратегии упущенный подиум, а возможно и победа.</t>
  </si>
  <si>
    <t>Команды Лайт зачета довольно сильно остали от более опытных конкурентов - обе на чуть более, чем 2 круга. Особенно отличились Незнайки, последние 1,5 часа гонки</t>
  </si>
  <si>
    <t>садившиеся на пит стопе исключительно на 2 худшие машины - №12 и 4.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</si>
</sst>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0.000"/>
    <numFmt numFmtId="165" formatCode="[$-F400]h:mm:ss\ AM/PM"/>
    <numFmt numFmtId="166" formatCode="0.0"/>
  </numFmts>
  <fonts count="4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2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3"/>
      <color indexed="10"/>
      <name val="Calibri"/>
      <family val="2"/>
      <charset val="204"/>
    </font>
    <font>
      <sz val="14"/>
      <color indexed="8"/>
      <name val="Calibri"/>
      <family val="2"/>
      <charset val="204"/>
    </font>
    <font>
      <sz val="15"/>
      <color indexed="8"/>
      <name val="Calibri"/>
      <family val="2"/>
      <charset val="204"/>
    </font>
    <font>
      <u/>
      <sz val="14"/>
      <color indexed="8"/>
      <name val="Calibri"/>
      <family val="2"/>
      <charset val="204"/>
    </font>
    <font>
      <sz val="11"/>
      <name val="Calibri"/>
      <family val="2"/>
      <charset val="204"/>
    </font>
    <font>
      <sz val="13"/>
      <name val="Calibri"/>
      <family val="2"/>
      <charset val="204"/>
    </font>
    <font>
      <b/>
      <sz val="12"/>
      <name val="Calibri"/>
      <family val="2"/>
      <charset val="204"/>
    </font>
    <font>
      <sz val="18"/>
      <color indexed="8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8F45C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8" fillId="0" borderId="0" applyFont="0" applyFill="0" applyBorder="0" applyAlignment="0" applyProtection="0"/>
  </cellStyleXfs>
  <cellXfs count="58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0" fontId="13" fillId="0" borderId="0" xfId="0" applyFont="1"/>
    <xf numFmtId="164" fontId="0" fillId="0" borderId="1" xfId="0" applyNumberForma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Alignment="1"/>
    <xf numFmtId="0" fontId="2" fillId="0" borderId="21" xfId="0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165" fontId="2" fillId="2" borderId="19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164" fontId="0" fillId="0" borderId="21" xfId="0" applyNumberFormat="1" applyFill="1" applyBorder="1" applyAlignment="1">
      <alignment horizontal="center" vertical="center"/>
    </xf>
    <xf numFmtId="164" fontId="15" fillId="0" borderId="12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0" borderId="0" xfId="0" applyFont="1"/>
    <xf numFmtId="0" fontId="2" fillId="0" borderId="0" xfId="0" applyFont="1" applyFill="1" applyBorder="1" applyAlignment="1">
      <alignment vertical="center"/>
    </xf>
    <xf numFmtId="0" fontId="22" fillId="0" borderId="0" xfId="0" applyFont="1" applyAlignment="1"/>
    <xf numFmtId="0" fontId="24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24" fillId="0" borderId="2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16" fillId="0" borderId="7" xfId="0" applyFont="1" applyBorder="1" applyAlignment="1">
      <alignment vertical="center"/>
    </xf>
    <xf numFmtId="0" fontId="25" fillId="0" borderId="32" xfId="0" applyFont="1" applyFill="1" applyBorder="1" applyAlignment="1">
      <alignment vertical="center"/>
    </xf>
    <xf numFmtId="0" fontId="25" fillId="0" borderId="32" xfId="0" applyFont="1" applyFill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7" fillId="0" borderId="0" xfId="0" applyFont="1"/>
    <xf numFmtId="0" fontId="24" fillId="0" borderId="16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166" fontId="13" fillId="0" borderId="12" xfId="0" applyNumberFormat="1" applyFont="1" applyBorder="1" applyAlignment="1">
      <alignment horizontal="center"/>
    </xf>
    <xf numFmtId="166" fontId="13" fillId="0" borderId="12" xfId="0" applyNumberFormat="1" applyFont="1" applyFill="1" applyBorder="1" applyAlignment="1">
      <alignment horizontal="center"/>
    </xf>
    <xf numFmtId="0" fontId="20" fillId="0" borderId="3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6" fontId="20" fillId="0" borderId="27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2" fillId="0" borderId="35" xfId="0" applyFont="1" applyFill="1" applyBorder="1" applyAlignment="1">
      <alignment horizontal="center" vertical="center"/>
    </xf>
    <xf numFmtId="166" fontId="32" fillId="0" borderId="27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9" fillId="0" borderId="15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64" fontId="2" fillId="0" borderId="16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2" fontId="19" fillId="0" borderId="38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164" fontId="2" fillId="0" borderId="40" xfId="0" applyNumberFormat="1" applyFont="1" applyFill="1" applyBorder="1" applyAlignment="1">
      <alignment horizontal="center" vertical="center"/>
    </xf>
    <xf numFmtId="0" fontId="33" fillId="0" borderId="42" xfId="0" applyFont="1" applyBorder="1" applyAlignment="1">
      <alignment horizontal="left" vertical="center"/>
    </xf>
    <xf numFmtId="49" fontId="8" fillId="0" borderId="20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42" xfId="0" applyNumberFormat="1" applyFont="1" applyBorder="1" applyAlignment="1">
      <alignment horizontal="center" vertical="center"/>
    </xf>
    <xf numFmtId="0" fontId="33" fillId="0" borderId="42" xfId="0" applyFont="1" applyBorder="1" applyAlignment="1">
      <alignment vertical="center"/>
    </xf>
    <xf numFmtId="0" fontId="33" fillId="0" borderId="43" xfId="0" applyFont="1" applyBorder="1" applyAlignment="1">
      <alignment horizontal="left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43" xfId="0" applyNumberFormat="1" applyFont="1" applyBorder="1" applyAlignment="1">
      <alignment horizontal="center" vertical="center"/>
    </xf>
    <xf numFmtId="0" fontId="33" fillId="0" borderId="43" xfId="0" applyFont="1" applyBorder="1" applyAlignment="1">
      <alignment vertical="center"/>
    </xf>
    <xf numFmtId="0" fontId="33" fillId="0" borderId="44" xfId="0" applyFont="1" applyBorder="1" applyAlignment="1">
      <alignment horizontal="left" vertical="center"/>
    </xf>
    <xf numFmtId="49" fontId="8" fillId="0" borderId="14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44" xfId="0" applyNumberFormat="1" applyFont="1" applyBorder="1" applyAlignment="1">
      <alignment horizontal="center" vertical="center"/>
    </xf>
    <xf numFmtId="0" fontId="33" fillId="0" borderId="44" xfId="0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5" xfId="0" applyFont="1" applyBorder="1" applyAlignment="1">
      <alignment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19" xfId="0" applyNumberFormat="1" applyFont="1" applyBorder="1" applyAlignment="1">
      <alignment vertical="center"/>
    </xf>
    <xf numFmtId="49" fontId="8" fillId="0" borderId="45" xfId="0" applyNumberFormat="1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19" xfId="0" applyFont="1" applyBorder="1" applyAlignment="1">
      <alignment vertical="center"/>
    </xf>
    <xf numFmtId="2" fontId="19" fillId="0" borderId="1" xfId="0" applyNumberFormat="1" applyFont="1" applyFill="1" applyBorder="1" applyAlignment="1">
      <alignment horizontal="center" vertical="center"/>
    </xf>
    <xf numFmtId="2" fontId="19" fillId="0" borderId="4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2" fontId="20" fillId="0" borderId="33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3" fillId="0" borderId="0" xfId="0" applyFont="1" applyFill="1"/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Font="1"/>
    <xf numFmtId="2" fontId="0" fillId="0" borderId="0" xfId="0" applyNumberFormat="1"/>
    <xf numFmtId="0" fontId="24" fillId="0" borderId="1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166" fontId="13" fillId="0" borderId="17" xfId="0" applyNumberFormat="1" applyFont="1" applyBorder="1" applyAlignment="1">
      <alignment horizontal="center"/>
    </xf>
    <xf numFmtId="166" fontId="13" fillId="0" borderId="8" xfId="0" applyNumberFormat="1" applyFont="1" applyBorder="1" applyAlignment="1">
      <alignment horizontal="center"/>
    </xf>
    <xf numFmtId="0" fontId="13" fillId="0" borderId="18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66" fontId="13" fillId="0" borderId="13" xfId="0" applyNumberFormat="1" applyFont="1" applyFill="1" applyBorder="1" applyAlignment="1">
      <alignment horizontal="center"/>
    </xf>
    <xf numFmtId="166" fontId="32" fillId="0" borderId="27" xfId="0" applyNumberFormat="1" applyFont="1" applyFill="1" applyBorder="1" applyAlignment="1">
      <alignment horizont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/>
    </xf>
    <xf numFmtId="0" fontId="20" fillId="0" borderId="55" xfId="0" applyFont="1" applyBorder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21" xfId="0" applyNumberFormat="1" applyFont="1" applyFill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36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2" fontId="19" fillId="0" borderId="15" xfId="0" applyNumberFormat="1" applyFont="1" applyFill="1" applyBorder="1" applyAlignment="1">
      <alignment horizontal="center" vertical="center"/>
    </xf>
    <xf numFmtId="165" fontId="3" fillId="0" borderId="21" xfId="0" applyNumberFormat="1" applyFont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164" fontId="15" fillId="0" borderId="63" xfId="0" applyNumberFormat="1" applyFont="1" applyFill="1" applyBorder="1" applyAlignment="1">
      <alignment horizontal="center" vertical="center"/>
    </xf>
    <xf numFmtId="164" fontId="2" fillId="0" borderId="15" xfId="0" applyNumberFormat="1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164" fontId="15" fillId="0" borderId="64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164" fontId="20" fillId="0" borderId="25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64" fontId="15" fillId="0" borderId="8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6" xfId="0" applyNumberFormat="1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165" fontId="2" fillId="5" borderId="16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2" fontId="19" fillId="0" borderId="33" xfId="0" applyNumberFormat="1" applyFont="1" applyFill="1" applyBorder="1" applyAlignment="1">
      <alignment horizontal="center" vertical="center"/>
    </xf>
    <xf numFmtId="0" fontId="37" fillId="4" borderId="37" xfId="0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164" fontId="11" fillId="0" borderId="37" xfId="0" applyNumberFormat="1" applyFont="1" applyFill="1" applyBorder="1" applyAlignment="1">
      <alignment horizontal="center" vertical="center"/>
    </xf>
    <xf numFmtId="2" fontId="21" fillId="0" borderId="37" xfId="0" applyNumberFormat="1" applyFont="1" applyFill="1" applyBorder="1" applyAlignment="1">
      <alignment horizontal="center" vertical="center"/>
    </xf>
    <xf numFmtId="0" fontId="19" fillId="0" borderId="5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2" fontId="20" fillId="0" borderId="33" xfId="0" applyNumberFormat="1" applyFont="1" applyFill="1" applyBorder="1" applyAlignment="1">
      <alignment horizontal="center" vertical="center"/>
    </xf>
    <xf numFmtId="164" fontId="20" fillId="0" borderId="25" xfId="0" applyNumberFormat="1" applyFont="1" applyFill="1" applyBorder="1" applyAlignment="1">
      <alignment horizontal="center" vertical="center"/>
    </xf>
    <xf numFmtId="0" fontId="14" fillId="4" borderId="37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5" fontId="2" fillId="7" borderId="11" xfId="0" applyNumberFormat="1" applyFont="1" applyFill="1" applyBorder="1" applyAlignment="1">
      <alignment horizontal="center" vertical="center"/>
    </xf>
    <xf numFmtId="165" fontId="2" fillId="8" borderId="2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37" fillId="0" borderId="1" xfId="0" applyNumberFormat="1" applyFont="1" applyFill="1" applyBorder="1" applyAlignment="1">
      <alignment horizontal="center" vertical="center"/>
    </xf>
    <xf numFmtId="2" fontId="37" fillId="4" borderId="37" xfId="0" applyNumberFormat="1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164" fontId="11" fillId="0" borderId="5" xfId="0" applyNumberFormat="1" applyFont="1" applyFill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164" fontId="2" fillId="0" borderId="29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0" fillId="10" borderId="16" xfId="0" applyNumberFormat="1" applyFill="1" applyBorder="1" applyAlignment="1">
      <alignment horizontal="center" vertical="center"/>
    </xf>
    <xf numFmtId="164" fontId="0" fillId="10" borderId="12" xfId="0" applyNumberFormat="1" applyFill="1" applyBorder="1" applyAlignment="1">
      <alignment horizontal="center" vertical="center"/>
    </xf>
    <xf numFmtId="164" fontId="0" fillId="10" borderId="8" xfId="0" applyNumberFormat="1" applyFill="1" applyBorder="1" applyAlignment="1">
      <alignment horizontal="center" vertical="center"/>
    </xf>
    <xf numFmtId="164" fontId="0" fillId="10" borderId="2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2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2" fontId="39" fillId="0" borderId="1" xfId="0" applyNumberFormat="1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Fill="1" applyBorder="1" applyAlignment="1">
      <alignment vertical="center"/>
    </xf>
    <xf numFmtId="0" fontId="24" fillId="0" borderId="21" xfId="0" applyFont="1" applyFill="1" applyBorder="1" applyAlignment="1">
      <alignment vertical="center"/>
    </xf>
    <xf numFmtId="0" fontId="24" fillId="0" borderId="21" xfId="0" applyFont="1" applyFill="1" applyBorder="1" applyAlignment="1">
      <alignment horizontal="center" vertical="center"/>
    </xf>
    <xf numFmtId="2" fontId="24" fillId="0" borderId="21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2" fontId="24" fillId="0" borderId="16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left" vertical="center"/>
    </xf>
    <xf numFmtId="0" fontId="24" fillId="0" borderId="16" xfId="0" applyFont="1" applyBorder="1" applyAlignment="1">
      <alignment horizontal="left" vertical="center"/>
    </xf>
    <xf numFmtId="0" fontId="24" fillId="0" borderId="21" xfId="0" applyFont="1" applyFill="1" applyBorder="1" applyAlignment="1">
      <alignment horizontal="left" vertical="center"/>
    </xf>
    <xf numFmtId="0" fontId="40" fillId="0" borderId="21" xfId="0" applyFont="1" applyFill="1" applyBorder="1" applyAlignment="1">
      <alignment vertical="center"/>
    </xf>
    <xf numFmtId="0" fontId="24" fillId="0" borderId="21" xfId="0" applyFont="1" applyBorder="1" applyAlignment="1">
      <alignment horizontal="left" vertical="center"/>
    </xf>
    <xf numFmtId="0" fontId="24" fillId="11" borderId="2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2" fontId="2" fillId="11" borderId="1" xfId="0" applyNumberFormat="1" applyFont="1" applyFill="1" applyBorder="1" applyAlignment="1">
      <alignment horizontal="center" vertical="center"/>
    </xf>
    <xf numFmtId="0" fontId="24" fillId="12" borderId="2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/>
    </xf>
    <xf numFmtId="2" fontId="2" fillId="12" borderId="1" xfId="0" applyNumberFormat="1" applyFont="1" applyFill="1" applyBorder="1" applyAlignment="1">
      <alignment horizontal="center" vertical="center"/>
    </xf>
    <xf numFmtId="0" fontId="24" fillId="13" borderId="2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2" fontId="2" fillId="13" borderId="1" xfId="0" applyNumberFormat="1" applyFont="1" applyFill="1" applyBorder="1" applyAlignment="1">
      <alignment horizontal="center" vertical="center"/>
    </xf>
    <xf numFmtId="0" fontId="24" fillId="13" borderId="18" xfId="0" applyFont="1" applyFill="1" applyBorder="1" applyAlignment="1">
      <alignment horizontal="center" vertical="center"/>
    </xf>
    <xf numFmtId="0" fontId="24" fillId="11" borderId="10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24" fillId="4" borderId="18" xfId="0" applyFont="1" applyFill="1" applyBorder="1" applyAlignment="1">
      <alignment horizontal="center" vertical="center"/>
    </xf>
    <xf numFmtId="0" fontId="24" fillId="10" borderId="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" fillId="11" borderId="21" xfId="0" applyFont="1" applyFill="1" applyBorder="1" applyAlignment="1">
      <alignment vertical="center"/>
    </xf>
    <xf numFmtId="0" fontId="2" fillId="11" borderId="21" xfId="0" applyFont="1" applyFill="1" applyBorder="1" applyAlignment="1">
      <alignment horizontal="center" vertical="center"/>
    </xf>
    <xf numFmtId="2" fontId="2" fillId="11" borderId="21" xfId="0" applyNumberFormat="1" applyFont="1" applyFill="1" applyBorder="1" applyAlignment="1">
      <alignment horizontal="center" vertical="center"/>
    </xf>
    <xf numFmtId="1" fontId="2" fillId="11" borderId="17" xfId="0" applyNumberFormat="1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1" fontId="2" fillId="11" borderId="12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center" vertical="center"/>
    </xf>
    <xf numFmtId="2" fontId="2" fillId="4" borderId="16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164" fontId="2" fillId="10" borderId="1" xfId="0" applyNumberFormat="1" applyFont="1" applyFill="1" applyBorder="1" applyAlignment="1">
      <alignment horizontal="center" vertical="center"/>
    </xf>
    <xf numFmtId="164" fontId="2" fillId="11" borderId="21" xfId="0" applyNumberFormat="1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vertical="center"/>
    </xf>
    <xf numFmtId="0" fontId="2" fillId="13" borderId="16" xfId="0" applyFont="1" applyFill="1" applyBorder="1" applyAlignment="1">
      <alignment horizontal="center" vertical="center"/>
    </xf>
    <xf numFmtId="2" fontId="2" fillId="13" borderId="16" xfId="0" applyNumberFormat="1" applyFont="1" applyFill="1" applyBorder="1" applyAlignment="1">
      <alignment horizontal="center" vertical="center"/>
    </xf>
    <xf numFmtId="1" fontId="2" fillId="13" borderId="8" xfId="0" applyNumberFormat="1" applyFont="1" applyFill="1" applyBorder="1" applyAlignment="1">
      <alignment horizontal="center" vertical="center"/>
    </xf>
    <xf numFmtId="164" fontId="2" fillId="13" borderId="1" xfId="0" applyNumberFormat="1" applyFont="1" applyFill="1" applyBorder="1" applyAlignment="1">
      <alignment horizontal="center" vertical="center"/>
    </xf>
    <xf numFmtId="164" fontId="2" fillId="13" borderId="16" xfId="0" applyNumberFormat="1" applyFont="1" applyFill="1" applyBorder="1" applyAlignment="1">
      <alignment horizontal="center" vertical="center"/>
    </xf>
    <xf numFmtId="2" fontId="37" fillId="11" borderId="21" xfId="0" applyNumberFormat="1" applyFont="1" applyFill="1" applyBorder="1" applyAlignment="1">
      <alignment horizontal="center" vertical="center"/>
    </xf>
    <xf numFmtId="2" fontId="37" fillId="12" borderId="1" xfId="0" applyNumberFormat="1" applyFont="1" applyFill="1" applyBorder="1" applyAlignment="1">
      <alignment horizontal="center" vertical="center"/>
    </xf>
    <xf numFmtId="2" fontId="37" fillId="13" borderId="1" xfId="0" applyNumberFormat="1" applyFont="1" applyFill="1" applyBorder="1" applyAlignment="1">
      <alignment horizontal="center" vertical="center"/>
    </xf>
    <xf numFmtId="2" fontId="37" fillId="10" borderId="1" xfId="0" applyNumberFormat="1" applyFont="1" applyFill="1" applyBorder="1" applyAlignment="1">
      <alignment horizontal="center" vertical="center"/>
    </xf>
    <xf numFmtId="2" fontId="11" fillId="11" borderId="1" xfId="0" applyNumberFormat="1" applyFont="1" applyFill="1" applyBorder="1" applyAlignment="1">
      <alignment horizontal="center" vertical="center"/>
    </xf>
    <xf numFmtId="2" fontId="11" fillId="13" borderId="1" xfId="0" applyNumberFormat="1" applyFont="1" applyFill="1" applyBorder="1" applyAlignment="1">
      <alignment horizontal="center" vertical="center"/>
    </xf>
    <xf numFmtId="0" fontId="13" fillId="0" borderId="50" xfId="0" applyFont="1" applyBorder="1" applyAlignment="1">
      <alignment horizontal="center"/>
    </xf>
    <xf numFmtId="2" fontId="13" fillId="0" borderId="25" xfId="0" applyNumberFormat="1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166" fontId="20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166" fontId="32" fillId="0" borderId="0" xfId="0" applyNumberFormat="1" applyFont="1" applyFill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166" fontId="20" fillId="0" borderId="25" xfId="0" applyNumberFormat="1" applyFont="1" applyFill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166" fontId="20" fillId="3" borderId="25" xfId="0" applyNumberFormat="1" applyFont="1" applyFill="1" applyBorder="1" applyAlignment="1">
      <alignment horizontal="center"/>
    </xf>
    <xf numFmtId="166" fontId="13" fillId="13" borderId="12" xfId="0" applyNumberFormat="1" applyFont="1" applyFill="1" applyBorder="1" applyAlignment="1">
      <alignment horizontal="center"/>
    </xf>
    <xf numFmtId="166" fontId="13" fillId="13" borderId="13" xfId="0" applyNumberFormat="1" applyFont="1" applyFill="1" applyBorder="1" applyAlignment="1">
      <alignment horizontal="center"/>
    </xf>
    <xf numFmtId="166" fontId="32" fillId="0" borderId="25" xfId="0" applyNumberFormat="1" applyFont="1" applyFill="1" applyBorder="1" applyAlignment="1">
      <alignment horizontal="center"/>
    </xf>
    <xf numFmtId="166" fontId="13" fillId="14" borderId="13" xfId="0" applyNumberFormat="1" applyFont="1" applyFill="1" applyBorder="1" applyAlignment="1">
      <alignment horizontal="center"/>
    </xf>
    <xf numFmtId="166" fontId="20" fillId="5" borderId="27" xfId="0" applyNumberFormat="1" applyFont="1" applyFill="1" applyBorder="1" applyAlignment="1">
      <alignment horizontal="center"/>
    </xf>
    <xf numFmtId="43" fontId="0" fillId="0" borderId="0" xfId="1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6" fontId="13" fillId="14" borderId="12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textRotation="90"/>
    </xf>
    <xf numFmtId="0" fontId="8" fillId="0" borderId="11" xfId="0" applyFont="1" applyFill="1" applyBorder="1" applyAlignment="1">
      <alignment horizontal="center" textRotation="90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26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textRotation="90"/>
    </xf>
    <xf numFmtId="0" fontId="0" fillId="0" borderId="19" xfId="0" applyFill="1" applyBorder="1" applyAlignment="1">
      <alignment horizontal="center" vertical="center" textRotation="90"/>
    </xf>
    <xf numFmtId="0" fontId="0" fillId="0" borderId="24" xfId="0" applyFill="1" applyBorder="1" applyAlignment="1">
      <alignment horizontal="center" vertical="center" textRotation="90"/>
    </xf>
    <xf numFmtId="0" fontId="0" fillId="0" borderId="23" xfId="0" applyFill="1" applyBorder="1" applyAlignment="1">
      <alignment horizontal="center" vertical="center" textRotation="90"/>
    </xf>
    <xf numFmtId="0" fontId="0" fillId="0" borderId="25" xfId="0" applyFill="1" applyBorder="1" applyAlignment="1">
      <alignment horizontal="center" vertical="center" textRotation="90"/>
    </xf>
    <xf numFmtId="0" fontId="8" fillId="0" borderId="22" xfId="0" applyFont="1" applyFill="1" applyBorder="1" applyAlignment="1">
      <alignment horizontal="center" vertical="center" textRotation="90"/>
    </xf>
    <xf numFmtId="0" fontId="8" fillId="0" borderId="23" xfId="0" applyFont="1" applyFill="1" applyBorder="1" applyAlignment="1">
      <alignment horizontal="center" vertical="center" textRotation="90"/>
    </xf>
    <xf numFmtId="0" fontId="8" fillId="0" borderId="13" xfId="0" applyFont="1" applyFill="1" applyBorder="1" applyAlignment="1">
      <alignment horizontal="center" vertical="center" textRotation="90"/>
    </xf>
    <xf numFmtId="0" fontId="8" fillId="0" borderId="24" xfId="0" applyFont="1" applyFill="1" applyBorder="1" applyAlignment="1">
      <alignment horizontal="center" vertical="center" textRotation="90"/>
    </xf>
    <xf numFmtId="0" fontId="17" fillId="0" borderId="24" xfId="0" applyFont="1" applyFill="1" applyBorder="1" applyAlignment="1">
      <alignment horizontal="center" vertical="center" textRotation="90"/>
    </xf>
    <xf numFmtId="0" fontId="17" fillId="0" borderId="23" xfId="0" applyFont="1" applyFill="1" applyBorder="1" applyAlignment="1">
      <alignment horizontal="center" vertical="center" textRotation="90"/>
    </xf>
    <xf numFmtId="0" fontId="17" fillId="0" borderId="13" xfId="0" applyFont="1" applyFill="1" applyBorder="1" applyAlignment="1">
      <alignment horizontal="center" vertical="center" textRotation="90"/>
    </xf>
    <xf numFmtId="0" fontId="8" fillId="0" borderId="25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23" fillId="0" borderId="22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29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51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2" fontId="40" fillId="0" borderId="22" xfId="0" applyNumberFormat="1" applyFont="1" applyBorder="1" applyAlignment="1">
      <alignment horizontal="center" vertical="center"/>
    </xf>
    <xf numFmtId="2" fontId="40" fillId="0" borderId="25" xfId="0" applyNumberFormat="1" applyFont="1" applyBorder="1" applyAlignment="1">
      <alignment horizontal="center" vertical="center"/>
    </xf>
    <xf numFmtId="2" fontId="25" fillId="0" borderId="22" xfId="0" applyNumberFormat="1" applyFont="1" applyBorder="1" applyAlignment="1">
      <alignment horizontal="center" vertical="center"/>
    </xf>
    <xf numFmtId="2" fontId="25" fillId="0" borderId="23" xfId="0" applyNumberFormat="1" applyFont="1" applyBorder="1" applyAlignment="1">
      <alignment horizontal="center" vertical="center"/>
    </xf>
    <xf numFmtId="2" fontId="25" fillId="0" borderId="25" xfId="0" applyNumberFormat="1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/>
    </xf>
    <xf numFmtId="0" fontId="24" fillId="0" borderId="48" xfId="0" applyFont="1" applyBorder="1" applyAlignment="1">
      <alignment horizontal="center"/>
    </xf>
    <xf numFmtId="0" fontId="24" fillId="0" borderId="53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/>
    </xf>
    <xf numFmtId="0" fontId="11" fillId="0" borderId="56" xfId="0" applyFont="1" applyBorder="1" applyAlignment="1">
      <alignment horizontal="center"/>
    </xf>
    <xf numFmtId="0" fontId="11" fillId="0" borderId="57" xfId="0" applyFont="1" applyBorder="1" applyAlignment="1">
      <alignment horizontal="center"/>
    </xf>
    <xf numFmtId="0" fontId="20" fillId="0" borderId="49" xfId="0" applyFont="1" applyBorder="1" applyAlignment="1">
      <alignment horizontal="center" vertical="center" wrapText="1"/>
    </xf>
    <xf numFmtId="0" fontId="0" fillId="0" borderId="41" xfId="0" applyBorder="1"/>
    <xf numFmtId="0" fontId="0" fillId="0" borderId="50" xfId="0" applyBorder="1"/>
    <xf numFmtId="0" fontId="20" fillId="0" borderId="29" xfId="0" applyFont="1" applyBorder="1" applyAlignment="1">
      <alignment horizontal="center" vertical="center"/>
    </xf>
    <xf numFmtId="0" fontId="0" fillId="0" borderId="38" xfId="0" applyBorder="1"/>
    <xf numFmtId="0" fontId="0" fillId="0" borderId="33" xfId="0" applyBorder="1"/>
    <xf numFmtId="0" fontId="20" fillId="0" borderId="51" xfId="0" applyFont="1" applyBorder="1" applyAlignment="1">
      <alignment horizontal="center" vertical="center" wrapText="1"/>
    </xf>
    <xf numFmtId="0" fontId="0" fillId="0" borderId="58" xfId="0" applyBorder="1"/>
    <xf numFmtId="0" fontId="0" fillId="0" borderId="7" xfId="0" applyBorder="1"/>
    <xf numFmtId="0" fontId="0" fillId="0" borderId="59" xfId="0" applyBorder="1"/>
    <xf numFmtId="0" fontId="13" fillId="0" borderId="1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166" fontId="13" fillId="0" borderId="2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6" fontId="13" fillId="0" borderId="17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166" fontId="13" fillId="0" borderId="1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0" fillId="0" borderId="34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0" fillId="0" borderId="61" xfId="0" applyFont="1" applyBorder="1" applyAlignment="1">
      <alignment horizontal="center"/>
    </xf>
    <xf numFmtId="0" fontId="20" fillId="0" borderId="66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3" fillId="0" borderId="15" xfId="0" applyFont="1" applyBorder="1" applyAlignment="1">
      <alignment horizontal="left" vertical="center"/>
    </xf>
    <xf numFmtId="166" fontId="13" fillId="0" borderId="13" xfId="0" applyNumberFormat="1" applyFont="1" applyBorder="1" applyAlignment="1">
      <alignment horizontal="center" vertical="center"/>
    </xf>
    <xf numFmtId="0" fontId="20" fillId="0" borderId="54" xfId="0" applyFont="1" applyBorder="1" applyAlignment="1">
      <alignment horizontal="center"/>
    </xf>
    <xf numFmtId="0" fontId="20" fillId="0" borderId="55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54" xfId="0" applyFont="1" applyFill="1" applyBorder="1" applyAlignment="1">
      <alignment horizontal="center"/>
    </xf>
    <xf numFmtId="0" fontId="20" fillId="0" borderId="55" xfId="0" applyFont="1" applyFill="1" applyBorder="1" applyAlignment="1">
      <alignment horizontal="center"/>
    </xf>
    <xf numFmtId="0" fontId="20" fillId="0" borderId="34" xfId="0" applyFont="1" applyFill="1" applyBorder="1" applyAlignment="1">
      <alignment horizontal="center" vertical="center"/>
    </xf>
    <xf numFmtId="0" fontId="20" fillId="0" borderId="56" xfId="0" applyFont="1" applyFill="1" applyBorder="1" applyAlignment="1">
      <alignment horizontal="center" vertical="center"/>
    </xf>
    <xf numFmtId="0" fontId="20" fillId="0" borderId="57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/>
    </xf>
    <xf numFmtId="166" fontId="13" fillId="0" borderId="4" xfId="0" applyNumberFormat="1" applyFont="1" applyBorder="1" applyAlignment="1">
      <alignment horizontal="center" vertical="center"/>
    </xf>
    <xf numFmtId="166" fontId="13" fillId="0" borderId="33" xfId="0" applyNumberFormat="1" applyFont="1" applyBorder="1" applyAlignment="1">
      <alignment horizontal="center" vertical="center"/>
    </xf>
    <xf numFmtId="166" fontId="13" fillId="0" borderId="24" xfId="0" applyNumberFormat="1" applyFont="1" applyBorder="1" applyAlignment="1">
      <alignment horizontal="center" vertical="center"/>
    </xf>
    <xf numFmtId="166" fontId="13" fillId="0" borderId="25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/>
    </xf>
    <xf numFmtId="0" fontId="18" fillId="0" borderId="34" xfId="0" applyFont="1" applyBorder="1" applyAlignment="1">
      <alignment horizontal="center" vertical="center" textRotation="90"/>
    </xf>
    <xf numFmtId="0" fontId="18" fillId="0" borderId="35" xfId="0" applyFont="1" applyBorder="1" applyAlignment="1">
      <alignment horizontal="center" vertical="center" textRotation="90"/>
    </xf>
    <xf numFmtId="0" fontId="18" fillId="0" borderId="45" xfId="0" applyFont="1" applyBorder="1" applyAlignment="1">
      <alignment horizontal="center" vertical="center" textRotation="90"/>
    </xf>
    <xf numFmtId="0" fontId="20" fillId="0" borderId="50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/>
    <xf numFmtId="165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2" fillId="0" borderId="1" xfId="0" applyNumberFormat="1" applyFont="1" applyBorder="1" applyAlignment="1">
      <alignment horizontal="center" vertical="center"/>
    </xf>
    <xf numFmtId="0" fontId="0" fillId="6" borderId="65" xfId="0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 textRotation="90"/>
    </xf>
    <xf numFmtId="0" fontId="18" fillId="0" borderId="43" xfId="0" applyFont="1" applyBorder="1" applyAlignment="1">
      <alignment horizontal="center" vertical="center" textRotation="90"/>
    </xf>
    <xf numFmtId="0" fontId="20" fillId="0" borderId="54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6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165" fontId="2" fillId="6" borderId="1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20" fillId="0" borderId="61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66" xfId="0" applyFont="1" applyFill="1" applyBorder="1" applyAlignment="1">
      <alignment horizontal="center" vertical="center"/>
    </xf>
    <xf numFmtId="0" fontId="18" fillId="0" borderId="47" xfId="0" applyFont="1" applyBorder="1" applyAlignment="1">
      <alignment horizontal="center" textRotation="90"/>
    </xf>
    <xf numFmtId="0" fontId="18" fillId="0" borderId="48" xfId="0" applyFont="1" applyBorder="1" applyAlignment="1">
      <alignment horizontal="center" textRotation="90"/>
    </xf>
    <xf numFmtId="0" fontId="18" fillId="0" borderId="46" xfId="0" applyFont="1" applyBorder="1" applyAlignment="1">
      <alignment horizontal="center" textRotation="90"/>
    </xf>
    <xf numFmtId="0" fontId="2" fillId="0" borderId="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65" fontId="2" fillId="0" borderId="4" xfId="0" applyNumberFormat="1" applyFont="1" applyFill="1" applyBorder="1" applyAlignment="1">
      <alignment horizontal="center" vertical="center"/>
    </xf>
    <xf numFmtId="165" fontId="2" fillId="0" borderId="15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165" fontId="3" fillId="0" borderId="15" xfId="0" applyNumberFormat="1" applyFont="1" applyFill="1" applyBorder="1" applyAlignment="1">
      <alignment horizontal="center" vertical="center"/>
    </xf>
    <xf numFmtId="165" fontId="2" fillId="5" borderId="4" xfId="0" applyNumberFormat="1" applyFont="1" applyFill="1" applyBorder="1" applyAlignment="1">
      <alignment horizontal="center" vertical="center"/>
    </xf>
    <xf numFmtId="165" fontId="2" fillId="5" borderId="15" xfId="0" applyNumberFormat="1" applyFont="1" applyFill="1" applyBorder="1" applyAlignment="1">
      <alignment horizontal="center" vertical="center"/>
    </xf>
    <xf numFmtId="0" fontId="24" fillId="0" borderId="0" xfId="0" applyFont="1" applyAlignment="1"/>
    <xf numFmtId="0" fontId="17" fillId="0" borderId="0" xfId="0" applyFont="1" applyAlignment="1">
      <alignment horizontal="left"/>
    </xf>
    <xf numFmtId="0" fontId="24" fillId="0" borderId="3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0" xfId="0" applyFont="1" applyAlignment="1"/>
    <xf numFmtId="0" fontId="2" fillId="0" borderId="0" xfId="0" applyFont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FFFF00"/>
      <color rgb="FFFF66CC"/>
      <color rgb="FF8F45C7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19"/>
  <sheetViews>
    <sheetView topLeftCell="A4" zoomScale="70" zoomScaleNormal="70" workbookViewId="0">
      <selection activeCell="L11" sqref="L11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1.28515625" bestFit="1" customWidth="1"/>
    <col min="12" max="12" width="9.85546875" customWidth="1"/>
  </cols>
  <sheetData>
    <row r="1" spans="1:13" ht="26.25">
      <c r="A1" s="400" t="s">
        <v>137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</row>
    <row r="2" spans="1:13" ht="5.25" customHeight="1"/>
    <row r="3" spans="1:13" ht="19.5" customHeight="1">
      <c r="A3" s="401" t="s">
        <v>11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</row>
    <row r="4" spans="1:13" ht="15.75" customHeight="1" thickBo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s="1" customFormat="1" ht="30" customHeight="1">
      <c r="A5" s="397" t="s">
        <v>9</v>
      </c>
      <c r="B5" s="403" t="s">
        <v>3</v>
      </c>
      <c r="C5" s="393" t="s">
        <v>2</v>
      </c>
      <c r="D5" s="393" t="s">
        <v>8</v>
      </c>
      <c r="E5" s="405" t="s">
        <v>10</v>
      </c>
      <c r="F5" s="407" t="s">
        <v>12</v>
      </c>
      <c r="G5" s="409"/>
      <c r="H5" s="397" t="s">
        <v>9</v>
      </c>
      <c r="I5" s="403" t="s">
        <v>3</v>
      </c>
      <c r="J5" s="393" t="s">
        <v>2</v>
      </c>
      <c r="K5" s="393" t="s">
        <v>8</v>
      </c>
      <c r="L5" s="393" t="s">
        <v>10</v>
      </c>
      <c r="M5" s="412" t="s">
        <v>12</v>
      </c>
    </row>
    <row r="6" spans="1:13" s="1" customFormat="1" ht="30" customHeight="1" thickBot="1">
      <c r="A6" s="402"/>
      <c r="B6" s="404"/>
      <c r="C6" s="394"/>
      <c r="D6" s="394"/>
      <c r="E6" s="406"/>
      <c r="F6" s="408"/>
      <c r="G6" s="410"/>
      <c r="H6" s="402"/>
      <c r="I6" s="404"/>
      <c r="J6" s="394"/>
      <c r="K6" s="394"/>
      <c r="L6" s="394"/>
      <c r="M6" s="413"/>
    </row>
    <row r="7" spans="1:13" s="2" customFormat="1" ht="37.15" customHeight="1">
      <c r="A7" s="397">
        <v>1</v>
      </c>
      <c r="B7" s="420" t="s">
        <v>58</v>
      </c>
      <c r="C7" s="119" t="s">
        <v>59</v>
      </c>
      <c r="D7" s="120" t="s">
        <v>98</v>
      </c>
      <c r="E7" s="121" t="s">
        <v>108</v>
      </c>
      <c r="F7" s="122" t="s">
        <v>38</v>
      </c>
      <c r="G7" s="410"/>
      <c r="H7" s="397">
        <v>5</v>
      </c>
      <c r="I7" s="420" t="s">
        <v>17</v>
      </c>
      <c r="J7" s="123" t="s">
        <v>21</v>
      </c>
      <c r="K7" s="120" t="s">
        <v>32</v>
      </c>
      <c r="L7" s="121" t="s">
        <v>122</v>
      </c>
      <c r="M7" s="122" t="s">
        <v>123</v>
      </c>
    </row>
    <row r="8" spans="1:13" s="2" customFormat="1" ht="37.15" customHeight="1">
      <c r="A8" s="398"/>
      <c r="B8" s="421"/>
      <c r="C8" s="129" t="s">
        <v>120</v>
      </c>
      <c r="D8" s="130" t="s">
        <v>100</v>
      </c>
      <c r="E8" s="131" t="s">
        <v>105</v>
      </c>
      <c r="F8" s="132" t="s">
        <v>106</v>
      </c>
      <c r="G8" s="410"/>
      <c r="H8" s="398"/>
      <c r="I8" s="421"/>
      <c r="J8" s="128" t="s">
        <v>16</v>
      </c>
      <c r="K8" s="125" t="s">
        <v>33</v>
      </c>
      <c r="L8" s="126" t="s">
        <v>99</v>
      </c>
      <c r="M8" s="127" t="s">
        <v>38</v>
      </c>
    </row>
    <row r="9" spans="1:13" s="2" customFormat="1" ht="36" customHeight="1" thickBot="1">
      <c r="A9" s="399"/>
      <c r="B9" s="422"/>
      <c r="C9" s="124" t="s">
        <v>121</v>
      </c>
      <c r="D9" s="125" t="s">
        <v>119</v>
      </c>
      <c r="E9" s="126" t="s">
        <v>110</v>
      </c>
      <c r="F9" s="127" t="s">
        <v>57</v>
      </c>
      <c r="G9" s="410"/>
      <c r="H9" s="399"/>
      <c r="I9" s="421"/>
      <c r="J9" s="128"/>
      <c r="K9" s="125"/>
      <c r="L9" s="126"/>
      <c r="M9" s="127"/>
    </row>
    <row r="10" spans="1:13" s="2" customFormat="1" ht="39.6" customHeight="1">
      <c r="A10" s="398">
        <v>2</v>
      </c>
      <c r="B10" s="423" t="s">
        <v>61</v>
      </c>
      <c r="C10" s="129" t="s">
        <v>20</v>
      </c>
      <c r="D10" s="130" t="s">
        <v>26</v>
      </c>
      <c r="E10" s="131" t="s">
        <v>109</v>
      </c>
      <c r="F10" s="132" t="s">
        <v>38</v>
      </c>
      <c r="G10" s="410"/>
      <c r="H10" s="397">
        <v>6</v>
      </c>
      <c r="I10" s="395" t="s">
        <v>116</v>
      </c>
      <c r="J10" s="123" t="s">
        <v>96</v>
      </c>
      <c r="K10" s="120" t="s">
        <v>104</v>
      </c>
      <c r="L10" s="121" t="s">
        <v>142</v>
      </c>
      <c r="M10" s="122" t="s">
        <v>143</v>
      </c>
    </row>
    <row r="11" spans="1:13" s="2" customFormat="1" ht="39.6" customHeight="1" thickBot="1">
      <c r="A11" s="399"/>
      <c r="B11" s="427"/>
      <c r="C11" s="124" t="s">
        <v>19</v>
      </c>
      <c r="D11" s="125" t="s">
        <v>27</v>
      </c>
      <c r="E11" s="126" t="s">
        <v>132</v>
      </c>
      <c r="F11" s="127" t="s">
        <v>133</v>
      </c>
      <c r="G11" s="410"/>
      <c r="H11" s="399"/>
      <c r="I11" s="396"/>
      <c r="J11" s="128" t="s">
        <v>136</v>
      </c>
      <c r="K11" s="125" t="s">
        <v>107</v>
      </c>
      <c r="L11" s="126"/>
      <c r="M11" s="127"/>
    </row>
    <row r="12" spans="1:13" s="2" customFormat="1" ht="42" customHeight="1">
      <c r="A12" s="397">
        <v>3</v>
      </c>
      <c r="B12" s="395" t="s">
        <v>129</v>
      </c>
      <c r="C12" s="119" t="s">
        <v>23</v>
      </c>
      <c r="D12" s="120" t="s">
        <v>28</v>
      </c>
      <c r="E12" s="121" t="s">
        <v>130</v>
      </c>
      <c r="F12" s="122" t="s">
        <v>131</v>
      </c>
      <c r="G12" s="410"/>
      <c r="H12" s="397">
        <v>7</v>
      </c>
      <c r="I12" s="395" t="s">
        <v>15</v>
      </c>
      <c r="J12" s="123" t="s">
        <v>97</v>
      </c>
      <c r="K12" s="120" t="s">
        <v>34</v>
      </c>
      <c r="L12" s="121" t="s">
        <v>130</v>
      </c>
      <c r="M12" s="122" t="s">
        <v>131</v>
      </c>
    </row>
    <row r="13" spans="1:13" s="2" customFormat="1" ht="40.9" customHeight="1">
      <c r="A13" s="399"/>
      <c r="B13" s="396"/>
      <c r="C13" s="124" t="s">
        <v>22</v>
      </c>
      <c r="D13" s="125" t="s">
        <v>29</v>
      </c>
      <c r="E13" s="126" t="s">
        <v>99</v>
      </c>
      <c r="F13" s="127" t="s">
        <v>38</v>
      </c>
      <c r="G13" s="410"/>
      <c r="H13" s="399"/>
      <c r="I13" s="396"/>
      <c r="J13" s="128" t="s">
        <v>18</v>
      </c>
      <c r="K13" s="125" t="s">
        <v>35</v>
      </c>
      <c r="L13" s="126" t="s">
        <v>134</v>
      </c>
      <c r="M13" s="127" t="s">
        <v>135</v>
      </c>
    </row>
    <row r="14" spans="1:13" s="2" customFormat="1" ht="38.450000000000003" customHeight="1">
      <c r="A14" s="398">
        <v>4</v>
      </c>
      <c r="B14" s="423" t="s">
        <v>55</v>
      </c>
      <c r="C14" s="129" t="s">
        <v>25</v>
      </c>
      <c r="D14" s="130" t="s">
        <v>30</v>
      </c>
      <c r="E14" s="131" t="s">
        <v>102</v>
      </c>
      <c r="F14" s="132" t="s">
        <v>103</v>
      </c>
      <c r="G14" s="410"/>
      <c r="H14" s="398">
        <v>8</v>
      </c>
      <c r="I14" s="424" t="s">
        <v>124</v>
      </c>
      <c r="J14" s="133" t="s">
        <v>125</v>
      </c>
      <c r="K14" s="130" t="s">
        <v>36</v>
      </c>
      <c r="L14" s="131" t="s">
        <v>110</v>
      </c>
      <c r="M14" s="132" t="s">
        <v>57</v>
      </c>
    </row>
    <row r="15" spans="1:13" s="2" customFormat="1" ht="38.450000000000003" customHeight="1">
      <c r="A15" s="398"/>
      <c r="B15" s="421"/>
      <c r="C15" s="129" t="s">
        <v>24</v>
      </c>
      <c r="D15" s="130" t="s">
        <v>31</v>
      </c>
      <c r="E15" s="131" t="s">
        <v>109</v>
      </c>
      <c r="F15" s="132" t="s">
        <v>38</v>
      </c>
      <c r="G15" s="410"/>
      <c r="H15" s="398"/>
      <c r="I15" s="425"/>
      <c r="J15" s="133" t="s">
        <v>127</v>
      </c>
      <c r="K15" s="130" t="s">
        <v>37</v>
      </c>
      <c r="L15" s="131" t="s">
        <v>101</v>
      </c>
      <c r="M15" s="132" t="s">
        <v>56</v>
      </c>
    </row>
    <row r="16" spans="1:13" s="2" customFormat="1" ht="39.6" customHeight="1">
      <c r="A16" s="399"/>
      <c r="B16" s="422"/>
      <c r="C16" s="124" t="s">
        <v>24</v>
      </c>
      <c r="D16" s="125" t="s">
        <v>31</v>
      </c>
      <c r="E16" s="126" t="s">
        <v>109</v>
      </c>
      <c r="F16" s="127" t="s">
        <v>38</v>
      </c>
      <c r="G16" s="410"/>
      <c r="H16" s="399"/>
      <c r="I16" s="426"/>
      <c r="J16" s="128" t="s">
        <v>128</v>
      </c>
      <c r="K16" s="125" t="s">
        <v>126</v>
      </c>
      <c r="L16" s="126" t="s">
        <v>102</v>
      </c>
      <c r="M16" s="127" t="s">
        <v>103</v>
      </c>
    </row>
    <row r="17" spans="1:13" s="2" customFormat="1" ht="30" hidden="1" customHeight="1">
      <c r="A17" s="399">
        <v>5</v>
      </c>
      <c r="B17" s="415"/>
      <c r="C17" s="134"/>
      <c r="D17" s="125"/>
      <c r="E17" s="126"/>
      <c r="F17" s="127"/>
      <c r="G17" s="410"/>
      <c r="H17" s="399"/>
      <c r="I17" s="417"/>
      <c r="J17" s="134"/>
      <c r="K17" s="125"/>
      <c r="L17" s="135"/>
      <c r="M17" s="136"/>
    </row>
    <row r="18" spans="1:13" s="2" customFormat="1" ht="30" hidden="1" customHeight="1">
      <c r="A18" s="399"/>
      <c r="B18" s="415"/>
      <c r="C18" s="134"/>
      <c r="D18" s="125"/>
      <c r="E18" s="126"/>
      <c r="F18" s="127"/>
      <c r="G18" s="410"/>
      <c r="H18" s="399"/>
      <c r="I18" s="418"/>
      <c r="J18" s="134"/>
      <c r="K18" s="125"/>
      <c r="L18" s="135"/>
      <c r="M18" s="136"/>
    </row>
    <row r="19" spans="1:13" s="2" customFormat="1" ht="30" hidden="1" customHeight="1" thickBot="1">
      <c r="A19" s="414"/>
      <c r="B19" s="416"/>
      <c r="C19" s="137"/>
      <c r="D19" s="138"/>
      <c r="E19" s="139"/>
      <c r="F19" s="140"/>
      <c r="G19" s="411"/>
      <c r="H19" s="414"/>
      <c r="I19" s="419"/>
      <c r="J19" s="137"/>
      <c r="K19" s="141"/>
      <c r="L19" s="142"/>
      <c r="M19" s="137"/>
    </row>
  </sheetData>
  <mergeCells count="35">
    <mergeCell ref="A14:A16"/>
    <mergeCell ref="B14:B16"/>
    <mergeCell ref="H14:H16"/>
    <mergeCell ref="I14:I16"/>
    <mergeCell ref="A12:A13"/>
    <mergeCell ref="B12:B13"/>
    <mergeCell ref="H12:H13"/>
    <mergeCell ref="H17:H19"/>
    <mergeCell ref="I17:I19"/>
    <mergeCell ref="B7:B9"/>
    <mergeCell ref="H7:H9"/>
    <mergeCell ref="I7:I9"/>
    <mergeCell ref="B10:B11"/>
    <mergeCell ref="H10:H11"/>
    <mergeCell ref="I12:I13"/>
    <mergeCell ref="A1:M1"/>
    <mergeCell ref="A3:M3"/>
    <mergeCell ref="A5:A6"/>
    <mergeCell ref="B5:B6"/>
    <mergeCell ref="C5:C6"/>
    <mergeCell ref="D5:D6"/>
    <mergeCell ref="E5:E6"/>
    <mergeCell ref="F5:F6"/>
    <mergeCell ref="G5:G19"/>
    <mergeCell ref="H5:H6"/>
    <mergeCell ref="M5:M6"/>
    <mergeCell ref="A10:A11"/>
    <mergeCell ref="I5:I6"/>
    <mergeCell ref="A17:A19"/>
    <mergeCell ref="B17:B19"/>
    <mergeCell ref="J5:J6"/>
    <mergeCell ref="K5:K6"/>
    <mergeCell ref="L5:L6"/>
    <mergeCell ref="I10:I11"/>
    <mergeCell ref="A7:A9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tabSelected="1" workbookViewId="0">
      <selection activeCell="B21" sqref="B21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6.7109375" style="1" customWidth="1"/>
    <col min="8" max="8" width="11.140625" style="1" customWidth="1"/>
    <col min="9" max="9" width="9" style="1" customWidth="1"/>
  </cols>
  <sheetData>
    <row r="1" spans="1:9" ht="19.5">
      <c r="A1" s="428" t="s">
        <v>167</v>
      </c>
      <c r="B1" s="429"/>
      <c r="C1" s="429"/>
      <c r="D1" s="429"/>
      <c r="E1" s="429"/>
      <c r="F1" s="429"/>
      <c r="G1" s="429"/>
      <c r="H1" s="429"/>
      <c r="I1" s="429"/>
    </row>
    <row r="2" spans="1:9" ht="17.25">
      <c r="A2" s="430" t="s">
        <v>168</v>
      </c>
      <c r="B2" s="430"/>
      <c r="C2" s="430"/>
      <c r="D2" s="430"/>
      <c r="E2" s="430"/>
      <c r="F2" s="430"/>
      <c r="G2" s="430"/>
      <c r="H2" s="430"/>
      <c r="I2" s="430"/>
    </row>
    <row r="3" spans="1:9" ht="6" customHeight="1" thickBot="1"/>
    <row r="4" spans="1:9" s="2" customFormat="1">
      <c r="A4" s="431" t="s">
        <v>39</v>
      </c>
      <c r="B4" s="433" t="s">
        <v>3</v>
      </c>
      <c r="C4" s="435" t="s">
        <v>40</v>
      </c>
      <c r="D4" s="431" t="s">
        <v>41</v>
      </c>
      <c r="E4" s="412"/>
      <c r="F4" s="437" t="s">
        <v>42</v>
      </c>
      <c r="G4" s="433"/>
      <c r="H4" s="431" t="s">
        <v>43</v>
      </c>
      <c r="I4" s="412"/>
    </row>
    <row r="5" spans="1:9" s="10" customFormat="1" ht="15.75" thickBot="1">
      <c r="A5" s="432"/>
      <c r="B5" s="434"/>
      <c r="C5" s="436"/>
      <c r="D5" s="34" t="s">
        <v>44</v>
      </c>
      <c r="E5" s="9" t="s">
        <v>39</v>
      </c>
      <c r="F5" s="7" t="s">
        <v>45</v>
      </c>
      <c r="G5" s="35" t="s">
        <v>46</v>
      </c>
      <c r="H5" s="34" t="s">
        <v>44</v>
      </c>
      <c r="I5" s="9" t="s">
        <v>47</v>
      </c>
    </row>
    <row r="6" spans="1:9" s="2" customFormat="1" ht="24.95" customHeight="1">
      <c r="A6" s="33">
        <v>1</v>
      </c>
      <c r="B6" s="11" t="s">
        <v>17</v>
      </c>
      <c r="C6" s="32">
        <v>5</v>
      </c>
      <c r="D6" s="12">
        <v>40.26</v>
      </c>
      <c r="E6" s="32">
        <v>6</v>
      </c>
      <c r="F6" s="36">
        <v>344</v>
      </c>
      <c r="G6" s="180" t="s">
        <v>138</v>
      </c>
      <c r="H6" s="272">
        <v>39.159999999999997</v>
      </c>
      <c r="I6" s="32">
        <v>245</v>
      </c>
    </row>
    <row r="7" spans="1:9" s="2" customFormat="1" ht="24.95" customHeight="1">
      <c r="A7" s="4">
        <v>2</v>
      </c>
      <c r="B7" s="13" t="s">
        <v>118</v>
      </c>
      <c r="C7" s="14">
        <v>6</v>
      </c>
      <c r="D7" s="4">
        <v>40.25</v>
      </c>
      <c r="E7" s="14">
        <v>5</v>
      </c>
      <c r="F7" s="6">
        <v>344</v>
      </c>
      <c r="G7" s="15">
        <v>37.15</v>
      </c>
      <c r="H7" s="30">
        <v>39.35</v>
      </c>
      <c r="I7" s="14">
        <v>61</v>
      </c>
    </row>
    <row r="8" spans="1:9" s="2" customFormat="1" ht="24.95" customHeight="1">
      <c r="A8" s="4">
        <v>3</v>
      </c>
      <c r="B8" s="13" t="s">
        <v>70</v>
      </c>
      <c r="C8" s="14">
        <v>3</v>
      </c>
      <c r="D8" s="16">
        <v>40.4</v>
      </c>
      <c r="E8" s="14">
        <v>7</v>
      </c>
      <c r="F8" s="6">
        <v>344</v>
      </c>
      <c r="G8" s="15">
        <v>39.15</v>
      </c>
      <c r="H8" s="16">
        <v>39.229999999999997</v>
      </c>
      <c r="I8" s="14">
        <v>80</v>
      </c>
    </row>
    <row r="9" spans="1:9" s="2" customFormat="1" ht="24.95" customHeight="1">
      <c r="A9" s="4">
        <v>4</v>
      </c>
      <c r="B9" s="13" t="s">
        <v>15</v>
      </c>
      <c r="C9" s="14">
        <v>7</v>
      </c>
      <c r="D9" s="270">
        <v>39.75</v>
      </c>
      <c r="E9" s="271">
        <v>1</v>
      </c>
      <c r="F9" s="178">
        <v>343</v>
      </c>
      <c r="G9" s="179" t="s">
        <v>139</v>
      </c>
      <c r="H9" s="167">
        <v>39.159999999999997</v>
      </c>
      <c r="I9" s="14">
        <v>249</v>
      </c>
    </row>
    <row r="10" spans="1:9" s="2" customFormat="1" ht="24.95" customHeight="1">
      <c r="A10" s="4">
        <v>5</v>
      </c>
      <c r="B10" s="13" t="s">
        <v>61</v>
      </c>
      <c r="C10" s="14">
        <v>2</v>
      </c>
      <c r="D10" s="167">
        <v>39.76</v>
      </c>
      <c r="E10" s="37">
        <v>2</v>
      </c>
      <c r="F10" s="6">
        <v>343</v>
      </c>
      <c r="G10" s="15" t="s">
        <v>139</v>
      </c>
      <c r="H10" s="30">
        <v>39.35</v>
      </c>
      <c r="I10" s="14">
        <v>213</v>
      </c>
    </row>
    <row r="11" spans="1:9" s="2" customFormat="1" ht="24.95" customHeight="1">
      <c r="A11" s="4">
        <v>6</v>
      </c>
      <c r="B11" s="13" t="s">
        <v>55</v>
      </c>
      <c r="C11" s="14">
        <v>4</v>
      </c>
      <c r="D11" s="4">
        <v>40.130000000000003</v>
      </c>
      <c r="E11" s="14">
        <v>3</v>
      </c>
      <c r="F11" s="6">
        <v>343</v>
      </c>
      <c r="G11" s="15" t="s">
        <v>139</v>
      </c>
      <c r="H11" s="16">
        <v>39.4</v>
      </c>
      <c r="I11" s="14">
        <v>233</v>
      </c>
    </row>
    <row r="12" spans="1:9" s="2" customFormat="1" ht="24.95" customHeight="1">
      <c r="A12" s="4">
        <v>7</v>
      </c>
      <c r="B12" s="17" t="s">
        <v>124</v>
      </c>
      <c r="C12" s="18">
        <v>8</v>
      </c>
      <c r="D12" s="5">
        <v>40.46</v>
      </c>
      <c r="E12" s="18">
        <v>8</v>
      </c>
      <c r="F12" s="19">
        <v>334</v>
      </c>
      <c r="G12" s="15" t="s">
        <v>140</v>
      </c>
      <c r="H12" s="4">
        <v>39.58</v>
      </c>
      <c r="I12" s="14">
        <v>296</v>
      </c>
    </row>
    <row r="13" spans="1:9" s="2" customFormat="1" ht="24.95" customHeight="1">
      <c r="A13" s="4">
        <v>8</v>
      </c>
      <c r="B13" s="13" t="s">
        <v>58</v>
      </c>
      <c r="C13" s="14">
        <v>1</v>
      </c>
      <c r="D13" s="4">
        <v>40.229999999999997</v>
      </c>
      <c r="E13" s="14">
        <v>4</v>
      </c>
      <c r="F13" s="6">
        <v>338</v>
      </c>
      <c r="G13" s="15" t="s">
        <v>141</v>
      </c>
      <c r="H13" s="5">
        <v>39.72</v>
      </c>
      <c r="I13" s="18">
        <v>146</v>
      </c>
    </row>
    <row r="14" spans="1:9">
      <c r="B14" s="13"/>
      <c r="C14" s="14"/>
      <c r="D14" s="4"/>
      <c r="E14" s="14"/>
      <c r="F14" s="6"/>
    </row>
    <row r="16" spans="1:9">
      <c r="A16" s="38" t="s">
        <v>188</v>
      </c>
    </row>
    <row r="17" spans="1:1">
      <c r="A17" s="38" t="s">
        <v>189</v>
      </c>
    </row>
    <row r="18" spans="1:1">
      <c r="A18" s="38" t="s">
        <v>190</v>
      </c>
    </row>
    <row r="19" spans="1:1" ht="6.75" customHeight="1">
      <c r="A19" s="582"/>
    </row>
    <row r="20" spans="1:1">
      <c r="A20" s="582" t="s">
        <v>191</v>
      </c>
    </row>
    <row r="21" spans="1:1">
      <c r="A21" s="582" t="s">
        <v>192</v>
      </c>
    </row>
    <row r="22" spans="1:1" ht="7.5" customHeight="1">
      <c r="A22" s="38"/>
    </row>
    <row r="23" spans="1:1">
      <c r="A23" s="38" t="s">
        <v>193</v>
      </c>
    </row>
    <row r="24" spans="1:1">
      <c r="A24" s="38" t="s">
        <v>194</v>
      </c>
    </row>
    <row r="25" spans="1:1">
      <c r="A25" s="38" t="s">
        <v>195</v>
      </c>
    </row>
    <row r="26" spans="1:1" ht="6.75" customHeight="1"/>
    <row r="27" spans="1:1">
      <c r="A27" s="38" t="s">
        <v>196</v>
      </c>
    </row>
    <row r="28" spans="1:1">
      <c r="A28" s="38" t="s">
        <v>197</v>
      </c>
    </row>
  </sheetData>
  <mergeCells count="8">
    <mergeCell ref="A1:I1"/>
    <mergeCell ref="A2:I2"/>
    <mergeCell ref="A4:A5"/>
    <mergeCell ref="B4:B5"/>
    <mergeCell ref="C4:C5"/>
    <mergeCell ref="D4:E4"/>
    <mergeCell ref="F4:G4"/>
    <mergeCell ref="H4:I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48"/>
  <sheetViews>
    <sheetView zoomScale="60" zoomScaleNormal="60" workbookViewId="0">
      <selection activeCell="H37" sqref="H37"/>
    </sheetView>
  </sheetViews>
  <sheetFormatPr defaultRowHeight="15"/>
  <cols>
    <col min="1" max="1" width="7.7109375" style="1" customWidth="1"/>
    <col min="2" max="2" width="20" customWidth="1"/>
    <col min="3" max="3" width="16.42578125" style="1" customWidth="1"/>
    <col min="4" max="4" width="12" style="1" customWidth="1"/>
    <col min="5" max="5" width="7.85546875" style="1" customWidth="1"/>
    <col min="6" max="6" width="4.7109375" customWidth="1"/>
    <col min="7" max="7" width="7.85546875" style="1" customWidth="1"/>
    <col min="8" max="8" width="20.5703125" customWidth="1"/>
    <col min="9" max="9" width="16.42578125" style="1" customWidth="1"/>
    <col min="10" max="10" width="12.140625" style="1" customWidth="1"/>
    <col min="11" max="11" width="8.140625" style="1" customWidth="1"/>
    <col min="12" max="12" width="6.140625" customWidth="1"/>
    <col min="13" max="13" width="7.85546875" style="1" customWidth="1"/>
    <col min="14" max="14" width="21.7109375" customWidth="1"/>
    <col min="15" max="15" width="17" style="1" customWidth="1"/>
    <col min="16" max="16" width="13" style="1" customWidth="1"/>
    <col min="17" max="17" width="8.7109375" style="1" customWidth="1"/>
  </cols>
  <sheetData>
    <row r="1" spans="1:17" ht="26.25">
      <c r="A1" s="400" t="s">
        <v>137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</row>
    <row r="2" spans="1:17" ht="4.5" customHeight="1"/>
    <row r="3" spans="1:17" ht="23.25">
      <c r="A3" s="444" t="s">
        <v>79</v>
      </c>
      <c r="B3" s="444"/>
      <c r="C3" s="444"/>
      <c r="D3" s="444"/>
      <c r="E3" s="444"/>
      <c r="F3" s="53"/>
      <c r="G3" s="444" t="s">
        <v>80</v>
      </c>
      <c r="H3" s="444"/>
      <c r="I3" s="444"/>
      <c r="J3" s="444"/>
      <c r="K3" s="444"/>
      <c r="M3" s="444" t="s">
        <v>81</v>
      </c>
      <c r="N3" s="444"/>
      <c r="O3" s="444"/>
      <c r="P3" s="444"/>
      <c r="Q3" s="444"/>
    </row>
    <row r="4" spans="1:17" ht="3.75" customHeight="1" thickBot="1"/>
    <row r="5" spans="1:17" s="55" customFormat="1" ht="16.5" customHeight="1">
      <c r="A5" s="440"/>
      <c r="B5" s="442" t="s">
        <v>2</v>
      </c>
      <c r="C5" s="445" t="s">
        <v>3</v>
      </c>
      <c r="D5" s="447" t="s">
        <v>64</v>
      </c>
      <c r="E5" s="438" t="s">
        <v>5</v>
      </c>
      <c r="F5" s="54"/>
      <c r="G5" s="440"/>
      <c r="H5" s="442" t="s">
        <v>2</v>
      </c>
      <c r="I5" s="445" t="s">
        <v>3</v>
      </c>
      <c r="J5" s="447" t="s">
        <v>82</v>
      </c>
      <c r="K5" s="438" t="s">
        <v>5</v>
      </c>
      <c r="M5" s="440"/>
      <c r="N5" s="442" t="s">
        <v>2</v>
      </c>
      <c r="O5" s="445" t="s">
        <v>3</v>
      </c>
      <c r="P5" s="447" t="s">
        <v>83</v>
      </c>
      <c r="Q5" s="438" t="s">
        <v>5</v>
      </c>
    </row>
    <row r="6" spans="1:17" s="55" customFormat="1" ht="19.149999999999999" customHeight="1" thickBot="1">
      <c r="A6" s="441"/>
      <c r="B6" s="443"/>
      <c r="C6" s="446"/>
      <c r="D6" s="448"/>
      <c r="E6" s="439"/>
      <c r="F6" s="54"/>
      <c r="G6" s="441"/>
      <c r="H6" s="443"/>
      <c r="I6" s="446"/>
      <c r="J6" s="448"/>
      <c r="K6" s="439"/>
      <c r="M6" s="441"/>
      <c r="N6" s="443"/>
      <c r="O6" s="446"/>
      <c r="P6" s="448"/>
      <c r="Q6" s="439"/>
    </row>
    <row r="7" spans="1:17" s="2" customFormat="1" ht="27.95" customHeight="1">
      <c r="A7" s="317">
        <v>1</v>
      </c>
      <c r="B7" s="327" t="s">
        <v>21</v>
      </c>
      <c r="C7" s="328" t="s">
        <v>17</v>
      </c>
      <c r="D7" s="354">
        <v>39.159999999999997</v>
      </c>
      <c r="E7" s="330">
        <v>3</v>
      </c>
      <c r="F7" s="56"/>
      <c r="G7" s="317">
        <v>1</v>
      </c>
      <c r="H7" s="327" t="s">
        <v>21</v>
      </c>
      <c r="I7" s="328" t="s">
        <v>17</v>
      </c>
      <c r="J7" s="329">
        <v>39.433421052631594</v>
      </c>
      <c r="K7" s="330">
        <v>3</v>
      </c>
      <c r="M7" s="317">
        <v>1</v>
      </c>
      <c r="N7" s="327" t="s">
        <v>16</v>
      </c>
      <c r="O7" s="328" t="s">
        <v>17</v>
      </c>
      <c r="P7" s="343">
        <v>0.24347826086956559</v>
      </c>
      <c r="Q7" s="330">
        <v>4</v>
      </c>
    </row>
    <row r="8" spans="1:17" s="2" customFormat="1" ht="27.95" customHeight="1">
      <c r="A8" s="308">
        <v>2</v>
      </c>
      <c r="B8" s="309" t="s">
        <v>18</v>
      </c>
      <c r="C8" s="310" t="s">
        <v>15</v>
      </c>
      <c r="D8" s="355">
        <v>39.159999999999997</v>
      </c>
      <c r="E8" s="331">
        <v>14</v>
      </c>
      <c r="F8" s="56"/>
      <c r="G8" s="312">
        <v>2</v>
      </c>
      <c r="H8" s="313" t="s">
        <v>22</v>
      </c>
      <c r="I8" s="314" t="s">
        <v>70</v>
      </c>
      <c r="J8" s="315">
        <v>39.544782608695648</v>
      </c>
      <c r="K8" s="347">
        <v>3</v>
      </c>
      <c r="M8" s="308">
        <v>2</v>
      </c>
      <c r="N8" s="309" t="s">
        <v>18</v>
      </c>
      <c r="O8" s="310" t="s">
        <v>15</v>
      </c>
      <c r="P8" s="345">
        <v>0.24916666666666032</v>
      </c>
      <c r="Q8" s="331">
        <v>2</v>
      </c>
    </row>
    <row r="9" spans="1:17" s="2" customFormat="1" ht="27.95" customHeight="1">
      <c r="A9" s="304">
        <v>3</v>
      </c>
      <c r="B9" s="305" t="s">
        <v>21</v>
      </c>
      <c r="C9" s="306" t="s">
        <v>17</v>
      </c>
      <c r="D9" s="307">
        <v>39.22</v>
      </c>
      <c r="E9" s="332">
        <v>1</v>
      </c>
      <c r="F9" s="56"/>
      <c r="G9" s="308">
        <v>3</v>
      </c>
      <c r="H9" s="309" t="s">
        <v>18</v>
      </c>
      <c r="I9" s="310" t="s">
        <v>15</v>
      </c>
      <c r="J9" s="311">
        <v>39.565576923076918</v>
      </c>
      <c r="K9" s="331">
        <v>88</v>
      </c>
      <c r="M9" s="304">
        <v>3</v>
      </c>
      <c r="N9" s="305" t="s">
        <v>21</v>
      </c>
      <c r="O9" s="306" t="s">
        <v>17</v>
      </c>
      <c r="P9" s="344">
        <v>0.27342105263159766</v>
      </c>
      <c r="Q9" s="332">
        <v>3</v>
      </c>
    </row>
    <row r="10" spans="1:17" s="2" customFormat="1" ht="27.95" customHeight="1">
      <c r="A10" s="308">
        <v>4</v>
      </c>
      <c r="B10" s="309" t="s">
        <v>18</v>
      </c>
      <c r="C10" s="310" t="s">
        <v>15</v>
      </c>
      <c r="D10" s="311">
        <v>39.22</v>
      </c>
      <c r="E10" s="331">
        <v>88</v>
      </c>
      <c r="F10" s="56"/>
      <c r="G10" s="304">
        <v>4</v>
      </c>
      <c r="H10" s="305" t="s">
        <v>16</v>
      </c>
      <c r="I10" s="306" t="s">
        <v>17</v>
      </c>
      <c r="J10" s="307">
        <v>39.652941176470584</v>
      </c>
      <c r="K10" s="332">
        <v>1</v>
      </c>
      <c r="M10" s="304">
        <v>4</v>
      </c>
      <c r="N10" s="305" t="s">
        <v>16</v>
      </c>
      <c r="O10" s="306" t="s">
        <v>17</v>
      </c>
      <c r="P10" s="344">
        <v>0.30680000000000263</v>
      </c>
      <c r="Q10" s="332">
        <v>88</v>
      </c>
    </row>
    <row r="11" spans="1:17" s="2" customFormat="1" ht="27.95" customHeight="1">
      <c r="A11" s="312">
        <v>5</v>
      </c>
      <c r="B11" s="313" t="s">
        <v>22</v>
      </c>
      <c r="C11" s="314" t="s">
        <v>70</v>
      </c>
      <c r="D11" s="356">
        <v>39.229999999999997</v>
      </c>
      <c r="E11" s="347">
        <v>3</v>
      </c>
      <c r="F11" s="56"/>
      <c r="G11" s="308">
        <v>5</v>
      </c>
      <c r="H11" s="309" t="s">
        <v>18</v>
      </c>
      <c r="I11" s="310" t="s">
        <v>15</v>
      </c>
      <c r="J11" s="311">
        <v>39.670227272727274</v>
      </c>
      <c r="K11" s="331">
        <v>14</v>
      </c>
      <c r="M11" s="312">
        <v>5</v>
      </c>
      <c r="N11" s="313" t="s">
        <v>22</v>
      </c>
      <c r="O11" s="314" t="s">
        <v>70</v>
      </c>
      <c r="P11" s="352">
        <v>0.31478260869565133</v>
      </c>
      <c r="Q11" s="347">
        <v>3</v>
      </c>
    </row>
    <row r="12" spans="1:17" s="2" customFormat="1" ht="27.95" customHeight="1">
      <c r="A12" s="304">
        <v>6</v>
      </c>
      <c r="B12" s="305" t="s">
        <v>16</v>
      </c>
      <c r="C12" s="306" t="s">
        <v>17</v>
      </c>
      <c r="D12" s="358">
        <v>39.25</v>
      </c>
      <c r="E12" s="332">
        <v>1</v>
      </c>
      <c r="F12" s="56"/>
      <c r="G12" s="312">
        <v>6</v>
      </c>
      <c r="H12" s="313" t="s">
        <v>23</v>
      </c>
      <c r="I12" s="314" t="s">
        <v>70</v>
      </c>
      <c r="J12" s="315">
        <v>39.747</v>
      </c>
      <c r="K12" s="347">
        <v>9</v>
      </c>
      <c r="M12" s="57">
        <v>6</v>
      </c>
      <c r="N12" s="279" t="s">
        <v>96</v>
      </c>
      <c r="O12" s="88" t="s">
        <v>118</v>
      </c>
      <c r="P12" s="151">
        <v>0.31521739130435122</v>
      </c>
      <c r="Q12" s="341">
        <v>2</v>
      </c>
    </row>
    <row r="13" spans="1:17" s="2" customFormat="1" ht="27.95" customHeight="1">
      <c r="A13" s="312">
        <v>7</v>
      </c>
      <c r="B13" s="313" t="s">
        <v>23</v>
      </c>
      <c r="C13" s="314" t="s">
        <v>70</v>
      </c>
      <c r="D13" s="359">
        <v>39.270000000000003</v>
      </c>
      <c r="E13" s="347">
        <v>88</v>
      </c>
      <c r="F13" s="56"/>
      <c r="G13" s="304">
        <v>7</v>
      </c>
      <c r="H13" s="305" t="s">
        <v>16</v>
      </c>
      <c r="I13" s="306" t="s">
        <v>17</v>
      </c>
      <c r="J13" s="307">
        <v>39.776800000000001</v>
      </c>
      <c r="K13" s="332">
        <v>88</v>
      </c>
      <c r="M13" s="308">
        <v>7</v>
      </c>
      <c r="N13" s="309" t="s">
        <v>18</v>
      </c>
      <c r="O13" s="310" t="s">
        <v>15</v>
      </c>
      <c r="P13" s="345">
        <v>0.34557692307691923</v>
      </c>
      <c r="Q13" s="331">
        <v>88</v>
      </c>
    </row>
    <row r="14" spans="1:17" s="2" customFormat="1" ht="27.95" customHeight="1">
      <c r="A14" s="312">
        <v>8</v>
      </c>
      <c r="B14" s="313" t="s">
        <v>22</v>
      </c>
      <c r="C14" s="314" t="s">
        <v>70</v>
      </c>
      <c r="D14" s="315">
        <v>39.33</v>
      </c>
      <c r="E14" s="347">
        <v>9</v>
      </c>
      <c r="F14" s="56"/>
      <c r="G14" s="318">
        <v>8</v>
      </c>
      <c r="H14" s="319" t="s">
        <v>24</v>
      </c>
      <c r="I14" s="320" t="s">
        <v>77</v>
      </c>
      <c r="J14" s="321">
        <v>39.790000000000006</v>
      </c>
      <c r="K14" s="333">
        <v>1</v>
      </c>
      <c r="M14" s="312">
        <v>8</v>
      </c>
      <c r="N14" s="313" t="s">
        <v>23</v>
      </c>
      <c r="O14" s="314" t="s">
        <v>70</v>
      </c>
      <c r="P14" s="352">
        <v>0.35699999999999932</v>
      </c>
      <c r="Q14" s="347">
        <v>9</v>
      </c>
    </row>
    <row r="15" spans="1:17" s="2" customFormat="1" ht="27.95" customHeight="1">
      <c r="A15" s="312">
        <v>9</v>
      </c>
      <c r="B15" s="313" t="s">
        <v>22</v>
      </c>
      <c r="C15" s="314" t="s">
        <v>70</v>
      </c>
      <c r="D15" s="315">
        <v>39.33</v>
      </c>
      <c r="E15" s="347">
        <v>88</v>
      </c>
      <c r="F15" s="56"/>
      <c r="G15" s="312">
        <v>9</v>
      </c>
      <c r="H15" s="313" t="s">
        <v>22</v>
      </c>
      <c r="I15" s="314" t="s">
        <v>70</v>
      </c>
      <c r="J15" s="315">
        <v>39.818749999999994</v>
      </c>
      <c r="K15" s="347">
        <v>88</v>
      </c>
      <c r="M15" s="304">
        <v>9</v>
      </c>
      <c r="N15" s="305" t="s">
        <v>16</v>
      </c>
      <c r="O15" s="306" t="s">
        <v>17</v>
      </c>
      <c r="P15" s="344">
        <v>0.38653061224488994</v>
      </c>
      <c r="Q15" s="332">
        <v>2</v>
      </c>
    </row>
    <row r="16" spans="1:17" s="2" customFormat="1" ht="27.95" customHeight="1">
      <c r="A16" s="323">
        <v>10</v>
      </c>
      <c r="B16" s="324" t="s">
        <v>19</v>
      </c>
      <c r="C16" s="325" t="s">
        <v>78</v>
      </c>
      <c r="D16" s="357">
        <v>39.35</v>
      </c>
      <c r="E16" s="340">
        <v>3</v>
      </c>
      <c r="F16" s="56"/>
      <c r="G16" s="304">
        <v>10</v>
      </c>
      <c r="H16" s="305" t="s">
        <v>16</v>
      </c>
      <c r="I16" s="306" t="s">
        <v>17</v>
      </c>
      <c r="J16" s="307">
        <v>39.821612903225798</v>
      </c>
      <c r="K16" s="334">
        <v>3</v>
      </c>
      <c r="M16" s="323">
        <v>10</v>
      </c>
      <c r="N16" s="324" t="s">
        <v>19</v>
      </c>
      <c r="O16" s="325" t="s">
        <v>78</v>
      </c>
      <c r="P16" s="342">
        <v>0.38699999999999335</v>
      </c>
      <c r="Q16" s="340">
        <v>7</v>
      </c>
    </row>
    <row r="17" spans="1:17" s="2" customFormat="1" ht="27.95" customHeight="1">
      <c r="A17" s="57">
        <v>11</v>
      </c>
      <c r="B17" s="279" t="s">
        <v>96</v>
      </c>
      <c r="C17" s="88" t="s">
        <v>118</v>
      </c>
      <c r="D17" s="259">
        <v>39.35</v>
      </c>
      <c r="E17" s="341">
        <v>88</v>
      </c>
      <c r="F17" s="56"/>
      <c r="G17" s="57">
        <v>11</v>
      </c>
      <c r="H17" s="279" t="s">
        <v>96</v>
      </c>
      <c r="I17" s="88" t="s">
        <v>118</v>
      </c>
      <c r="J17" s="153">
        <v>39.833230769230767</v>
      </c>
      <c r="K17" s="341">
        <v>88</v>
      </c>
      <c r="M17" s="57">
        <v>11</v>
      </c>
      <c r="N17" s="279" t="s">
        <v>136</v>
      </c>
      <c r="O17" s="88" t="s">
        <v>118</v>
      </c>
      <c r="P17" s="151">
        <v>0.38879999999999626</v>
      </c>
      <c r="Q17" s="341">
        <v>4</v>
      </c>
    </row>
    <row r="18" spans="1:17" s="2" customFormat="1" ht="27.95" customHeight="1">
      <c r="A18" s="304">
        <v>12</v>
      </c>
      <c r="B18" s="305" t="s">
        <v>16</v>
      </c>
      <c r="C18" s="306" t="s">
        <v>17</v>
      </c>
      <c r="D18" s="307">
        <v>39.36</v>
      </c>
      <c r="E18" s="334">
        <v>3</v>
      </c>
      <c r="F18" s="56"/>
      <c r="G18" s="312">
        <v>12</v>
      </c>
      <c r="H18" s="313" t="s">
        <v>22</v>
      </c>
      <c r="I18" s="314" t="s">
        <v>70</v>
      </c>
      <c r="J18" s="315">
        <v>39.842413793103439</v>
      </c>
      <c r="K18" s="347">
        <v>9</v>
      </c>
      <c r="M18" s="318">
        <v>12</v>
      </c>
      <c r="N18" s="319" t="s">
        <v>24</v>
      </c>
      <c r="O18" s="320" t="s">
        <v>77</v>
      </c>
      <c r="P18" s="346">
        <v>0.39000000000000767</v>
      </c>
      <c r="Q18" s="333">
        <v>1</v>
      </c>
    </row>
    <row r="19" spans="1:17" s="2" customFormat="1" ht="27.95" customHeight="1">
      <c r="A19" s="312">
        <v>13</v>
      </c>
      <c r="B19" s="313" t="s">
        <v>23</v>
      </c>
      <c r="C19" s="314" t="s">
        <v>70</v>
      </c>
      <c r="D19" s="315">
        <v>39.380000000000003</v>
      </c>
      <c r="E19" s="347">
        <v>14</v>
      </c>
      <c r="F19" s="56"/>
      <c r="G19" s="57">
        <v>13</v>
      </c>
      <c r="H19" s="279" t="s">
        <v>96</v>
      </c>
      <c r="I19" s="88" t="s">
        <v>118</v>
      </c>
      <c r="J19" s="153">
        <v>39.872753623188402</v>
      </c>
      <c r="K19" s="341">
        <v>1</v>
      </c>
      <c r="M19" s="308">
        <v>13</v>
      </c>
      <c r="N19" s="309" t="s">
        <v>97</v>
      </c>
      <c r="O19" s="310" t="s">
        <v>15</v>
      </c>
      <c r="P19" s="345">
        <v>0.40137931034482932</v>
      </c>
      <c r="Q19" s="331">
        <v>14</v>
      </c>
    </row>
    <row r="20" spans="1:17" s="2" customFormat="1" ht="27.95" customHeight="1">
      <c r="A20" s="312">
        <v>14</v>
      </c>
      <c r="B20" s="313" t="s">
        <v>23</v>
      </c>
      <c r="C20" s="314" t="s">
        <v>70</v>
      </c>
      <c r="D20" s="315">
        <v>39.39</v>
      </c>
      <c r="E20" s="347">
        <v>9</v>
      </c>
      <c r="F20" s="56"/>
      <c r="G20" s="304">
        <v>14</v>
      </c>
      <c r="H20" s="305" t="s">
        <v>21</v>
      </c>
      <c r="I20" s="306" t="s">
        <v>17</v>
      </c>
      <c r="J20" s="307">
        <v>39.89661971830985</v>
      </c>
      <c r="K20" s="332">
        <v>1</v>
      </c>
      <c r="M20" s="304">
        <v>14</v>
      </c>
      <c r="N20" s="305" t="s">
        <v>16</v>
      </c>
      <c r="O20" s="306" t="s">
        <v>17</v>
      </c>
      <c r="P20" s="344">
        <v>0.40294117647058414</v>
      </c>
      <c r="Q20" s="332">
        <v>1</v>
      </c>
    </row>
    <row r="21" spans="1:17" s="2" customFormat="1" ht="27.95" customHeight="1" thickBot="1">
      <c r="A21" s="316">
        <v>15</v>
      </c>
      <c r="B21" s="348" t="s">
        <v>22</v>
      </c>
      <c r="C21" s="349" t="s">
        <v>70</v>
      </c>
      <c r="D21" s="350">
        <v>39.39</v>
      </c>
      <c r="E21" s="351">
        <v>15</v>
      </c>
      <c r="F21" s="58"/>
      <c r="G21" s="322">
        <v>15</v>
      </c>
      <c r="H21" s="335" t="s">
        <v>24</v>
      </c>
      <c r="I21" s="336" t="s">
        <v>77</v>
      </c>
      <c r="J21" s="337">
        <v>39.918863636363639</v>
      </c>
      <c r="K21" s="338">
        <v>15</v>
      </c>
      <c r="M21" s="316">
        <v>15</v>
      </c>
      <c r="N21" s="348" t="s">
        <v>23</v>
      </c>
      <c r="O21" s="349" t="s">
        <v>70</v>
      </c>
      <c r="P21" s="353">
        <v>0.40526315789472989</v>
      </c>
      <c r="Q21" s="351">
        <v>12</v>
      </c>
    </row>
    <row r="22" spans="1:17" s="60" customFormat="1" ht="21.75" customHeight="1">
      <c r="A22" s="339">
        <v>40.79</v>
      </c>
      <c r="B22" s="64" t="s">
        <v>84</v>
      </c>
      <c r="C22" s="65"/>
      <c r="D22" s="66"/>
      <c r="E22" s="67"/>
      <c r="F22" s="59"/>
      <c r="G22" s="326">
        <v>40.869999999999997</v>
      </c>
      <c r="H22" s="64" t="s">
        <v>85</v>
      </c>
      <c r="I22" s="65"/>
      <c r="J22" s="66"/>
      <c r="K22" s="67"/>
      <c r="M22" s="63" t="s">
        <v>86</v>
      </c>
      <c r="N22" s="64"/>
      <c r="O22" s="65"/>
      <c r="P22" s="66"/>
      <c r="Q22" s="67"/>
    </row>
    <row r="23" spans="1:17" ht="8.25" customHeight="1"/>
    <row r="24" spans="1:17" ht="19.5">
      <c r="A24" s="580" t="s">
        <v>171</v>
      </c>
      <c r="G24" s="62"/>
    </row>
    <row r="25" spans="1:17" ht="19.5">
      <c r="A25" s="580" t="s">
        <v>172</v>
      </c>
      <c r="G25" s="62"/>
      <c r="M25" s="62"/>
    </row>
    <row r="26" spans="1:17" ht="19.5">
      <c r="A26" s="580" t="s">
        <v>173</v>
      </c>
      <c r="G26" s="62"/>
      <c r="M26" s="62"/>
    </row>
    <row r="27" spans="1:17" ht="8.25" customHeight="1">
      <c r="A27" s="61"/>
      <c r="G27" s="62"/>
      <c r="M27" s="62"/>
    </row>
    <row r="28" spans="1:17" ht="19.5">
      <c r="A28" s="580" t="s">
        <v>174</v>
      </c>
      <c r="M28" s="62"/>
    </row>
    <row r="29" spans="1:17" ht="19.5">
      <c r="A29" s="580" t="s">
        <v>175</v>
      </c>
      <c r="M29" s="62"/>
    </row>
    <row r="30" spans="1:17" ht="6.75" customHeight="1">
      <c r="A30" s="61"/>
    </row>
    <row r="31" spans="1:17" ht="16.5" customHeight="1">
      <c r="A31" s="580" t="s">
        <v>176</v>
      </c>
    </row>
    <row r="32" spans="1:17" ht="18.75">
      <c r="A32" s="580" t="s">
        <v>177</v>
      </c>
    </row>
    <row r="33" spans="1:1" ht="18.75">
      <c r="A33" s="580" t="s">
        <v>178</v>
      </c>
    </row>
    <row r="34" spans="1:1" ht="5.25" customHeight="1"/>
    <row r="35" spans="1:1" ht="18.75">
      <c r="A35" s="61"/>
    </row>
    <row r="36" spans="1:1" ht="18.75">
      <c r="A36" s="61"/>
    </row>
    <row r="37" spans="1:1" ht="18.75">
      <c r="A37" s="61"/>
    </row>
    <row r="38" spans="1:1" ht="18.75">
      <c r="A38" s="61"/>
    </row>
    <row r="39" spans="1:1" ht="18.75">
      <c r="A39" s="61"/>
    </row>
    <row r="40" spans="1:1" ht="18.75">
      <c r="A40" s="61"/>
    </row>
    <row r="42" spans="1:1" ht="18.75">
      <c r="A42" s="61"/>
    </row>
    <row r="43" spans="1:1" ht="18.75">
      <c r="A43" s="61"/>
    </row>
    <row r="44" spans="1:1" ht="18.75">
      <c r="A44" s="61"/>
    </row>
    <row r="45" spans="1:1" ht="18.75">
      <c r="A45" s="61"/>
    </row>
    <row r="46" spans="1:1" ht="18.75">
      <c r="A46" s="61"/>
    </row>
    <row r="47" spans="1:1" ht="18.75">
      <c r="A47" s="61"/>
    </row>
    <row r="48" spans="1:1" ht="18.75">
      <c r="A48" s="61"/>
    </row>
  </sheetData>
  <mergeCells count="19">
    <mergeCell ref="E5:E6"/>
    <mergeCell ref="G5:G6"/>
    <mergeCell ref="O5:O6"/>
    <mergeCell ref="K5:K6"/>
    <mergeCell ref="M5:M6"/>
    <mergeCell ref="N5:N6"/>
    <mergeCell ref="A1:Q1"/>
    <mergeCell ref="A3:E3"/>
    <mergeCell ref="G3:K3"/>
    <mergeCell ref="M3:Q3"/>
    <mergeCell ref="A5:A6"/>
    <mergeCell ref="B5:B6"/>
    <mergeCell ref="C5:C6"/>
    <mergeCell ref="P5:P6"/>
    <mergeCell ref="Q5:Q6"/>
    <mergeCell ref="H5:H6"/>
    <mergeCell ref="I5:I6"/>
    <mergeCell ref="J5:J6"/>
    <mergeCell ref="D5:D6"/>
  </mergeCells>
  <phoneticPr fontId="0" type="noConversion"/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N28"/>
  <sheetViews>
    <sheetView zoomScale="70" zoomScaleNormal="70" workbookViewId="0">
      <selection activeCell="A3" sqref="A3:K3"/>
    </sheetView>
  </sheetViews>
  <sheetFormatPr defaultRowHeight="15"/>
  <cols>
    <col min="1" max="1" width="6" customWidth="1"/>
    <col min="2" max="2" width="20.42578125" customWidth="1"/>
    <col min="3" max="3" width="17.85546875" style="1" customWidth="1"/>
    <col min="4" max="4" width="11.85546875" style="68" customWidth="1"/>
    <col min="5" max="5" width="10.5703125" style="1" customWidth="1"/>
    <col min="6" max="6" width="2.140625" customWidth="1"/>
    <col min="7" max="7" width="6" customWidth="1"/>
    <col min="8" max="8" width="20.42578125" customWidth="1"/>
    <col min="9" max="9" width="17.140625" style="1" customWidth="1"/>
    <col min="10" max="10" width="11.7109375" style="1" customWidth="1"/>
    <col min="11" max="11" width="11" style="1" customWidth="1"/>
    <col min="12" max="12" width="2.28515625" customWidth="1"/>
  </cols>
  <sheetData>
    <row r="1" spans="1:14" ht="26.25">
      <c r="A1" s="400" t="s">
        <v>137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</row>
    <row r="2" spans="1:14" ht="4.5" customHeight="1">
      <c r="A2" s="1"/>
      <c r="G2" s="1"/>
    </row>
    <row r="3" spans="1:14" ht="23.25">
      <c r="A3" s="444" t="s">
        <v>117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</row>
    <row r="4" spans="1:14" ht="7.5" customHeight="1" thickBot="1"/>
    <row r="5" spans="1:14" s="55" customFormat="1" ht="20.25" customHeight="1">
      <c r="A5" s="457" t="s">
        <v>75</v>
      </c>
      <c r="B5" s="442" t="s">
        <v>2</v>
      </c>
      <c r="C5" s="445" t="s">
        <v>3</v>
      </c>
      <c r="D5" s="461" t="s">
        <v>64</v>
      </c>
      <c r="E5" s="438" t="s">
        <v>87</v>
      </c>
      <c r="F5" s="464"/>
      <c r="G5" s="457" t="s">
        <v>75</v>
      </c>
      <c r="H5" s="442" t="s">
        <v>2</v>
      </c>
      <c r="I5" s="445" t="s">
        <v>3</v>
      </c>
      <c r="J5" s="461" t="s">
        <v>64</v>
      </c>
      <c r="K5" s="438" t="s">
        <v>87</v>
      </c>
      <c r="M5" s="579" t="s">
        <v>179</v>
      </c>
    </row>
    <row r="6" spans="1:14" s="55" customFormat="1" ht="18.75" customHeight="1" thickBot="1">
      <c r="A6" s="458"/>
      <c r="B6" s="459"/>
      <c r="C6" s="460"/>
      <c r="D6" s="462"/>
      <c r="E6" s="463"/>
      <c r="F6" s="465"/>
      <c r="G6" s="458"/>
      <c r="H6" s="459"/>
      <c r="I6" s="460"/>
      <c r="J6" s="462"/>
      <c r="K6" s="463"/>
      <c r="M6" s="579" t="s">
        <v>180</v>
      </c>
    </row>
    <row r="7" spans="1:14" s="2" customFormat="1" ht="21.95" customHeight="1">
      <c r="A7" s="454">
        <v>3</v>
      </c>
      <c r="B7" s="294" t="s">
        <v>21</v>
      </c>
      <c r="C7" s="295" t="s">
        <v>17</v>
      </c>
      <c r="D7" s="296">
        <v>39.159999999999997</v>
      </c>
      <c r="E7" s="451">
        <f>AVERAGE(D7:D9)</f>
        <v>39.246666666666663</v>
      </c>
      <c r="F7" s="465"/>
      <c r="G7" s="454">
        <v>7</v>
      </c>
      <c r="H7" s="303" t="s">
        <v>25</v>
      </c>
      <c r="I7" s="295" t="s">
        <v>77</v>
      </c>
      <c r="J7" s="296">
        <v>39.450000000000003</v>
      </c>
      <c r="K7" s="451">
        <f>AVERAGE(J7:J9)</f>
        <v>39.53</v>
      </c>
      <c r="M7" s="579" t="s">
        <v>187</v>
      </c>
    </row>
    <row r="8" spans="1:14" s="2" customFormat="1" ht="21.95" customHeight="1">
      <c r="A8" s="455"/>
      <c r="B8" s="156" t="s">
        <v>22</v>
      </c>
      <c r="C8" s="282" t="s">
        <v>70</v>
      </c>
      <c r="D8" s="283">
        <v>39.229999999999997</v>
      </c>
      <c r="E8" s="452"/>
      <c r="F8" s="465"/>
      <c r="G8" s="455"/>
      <c r="H8" s="156" t="s">
        <v>21</v>
      </c>
      <c r="I8" s="282" t="s">
        <v>17</v>
      </c>
      <c r="J8" s="283">
        <v>39.549999999999997</v>
      </c>
      <c r="K8" s="452"/>
      <c r="M8" s="579" t="s">
        <v>181</v>
      </c>
    </row>
    <row r="9" spans="1:14" s="2" customFormat="1" ht="21.95" customHeight="1" thickBot="1">
      <c r="A9" s="456"/>
      <c r="B9" s="300" t="s">
        <v>19</v>
      </c>
      <c r="C9" s="297" t="s">
        <v>61</v>
      </c>
      <c r="D9" s="298">
        <v>39.35</v>
      </c>
      <c r="E9" s="453"/>
      <c r="F9" s="465"/>
      <c r="G9" s="456"/>
      <c r="H9" s="300" t="s">
        <v>19</v>
      </c>
      <c r="I9" s="297" t="s">
        <v>61</v>
      </c>
      <c r="J9" s="298">
        <v>39.590000000000003</v>
      </c>
      <c r="K9" s="453"/>
      <c r="M9" s="579"/>
    </row>
    <row r="10" spans="1:14" s="2" customFormat="1" ht="21.95" customHeight="1">
      <c r="A10" s="454">
        <v>88</v>
      </c>
      <c r="B10" s="301" t="s">
        <v>18</v>
      </c>
      <c r="C10" s="295" t="s">
        <v>15</v>
      </c>
      <c r="D10" s="296">
        <v>39.22</v>
      </c>
      <c r="E10" s="451">
        <f>AVERAGE(D10:D12)</f>
        <v>39.273333333333333</v>
      </c>
      <c r="F10" s="465"/>
      <c r="G10" s="454">
        <v>21</v>
      </c>
      <c r="H10" s="302" t="s">
        <v>23</v>
      </c>
      <c r="I10" s="295" t="s">
        <v>70</v>
      </c>
      <c r="J10" s="296">
        <v>39.51</v>
      </c>
      <c r="K10" s="451">
        <f>AVERAGE(J10:J12)</f>
        <v>39.6</v>
      </c>
      <c r="M10" s="579" t="s">
        <v>182</v>
      </c>
    </row>
    <row r="11" spans="1:14" s="2" customFormat="1" ht="21.95" customHeight="1">
      <c r="A11" s="455"/>
      <c r="B11" s="156" t="s">
        <v>23</v>
      </c>
      <c r="C11" s="282" t="s">
        <v>70</v>
      </c>
      <c r="D11" s="283">
        <v>39.270000000000003</v>
      </c>
      <c r="E11" s="452"/>
      <c r="F11" s="465"/>
      <c r="G11" s="455"/>
      <c r="H11" s="284" t="s">
        <v>25</v>
      </c>
      <c r="I11" s="282" t="s">
        <v>77</v>
      </c>
      <c r="J11" s="283">
        <v>39.54</v>
      </c>
      <c r="K11" s="452"/>
      <c r="M11" s="579" t="s">
        <v>183</v>
      </c>
    </row>
    <row r="12" spans="1:14" s="2" customFormat="1" ht="21.95" customHeight="1" thickBot="1">
      <c r="A12" s="456"/>
      <c r="B12" s="157" t="s">
        <v>22</v>
      </c>
      <c r="C12" s="297" t="s">
        <v>70</v>
      </c>
      <c r="D12" s="298">
        <v>39.33</v>
      </c>
      <c r="E12" s="453"/>
      <c r="F12" s="465"/>
      <c r="G12" s="456"/>
      <c r="H12" s="299" t="s">
        <v>97</v>
      </c>
      <c r="I12" s="297" t="s">
        <v>15</v>
      </c>
      <c r="J12" s="298">
        <v>39.75</v>
      </c>
      <c r="K12" s="453"/>
      <c r="M12" s="579"/>
    </row>
    <row r="13" spans="1:14" s="2" customFormat="1" ht="21.95" customHeight="1">
      <c r="A13" s="454">
        <v>1</v>
      </c>
      <c r="B13" s="294" t="s">
        <v>21</v>
      </c>
      <c r="C13" s="295" t="s">
        <v>17</v>
      </c>
      <c r="D13" s="296">
        <v>39.22</v>
      </c>
      <c r="E13" s="451">
        <f>AVERAGE(D13:D15)</f>
        <v>39.29</v>
      </c>
      <c r="F13" s="465"/>
      <c r="G13" s="454">
        <v>2</v>
      </c>
      <c r="H13" s="301" t="s">
        <v>18</v>
      </c>
      <c r="I13" s="295" t="s">
        <v>15</v>
      </c>
      <c r="J13" s="296">
        <v>39.72</v>
      </c>
      <c r="K13" s="451">
        <f>AVERAGE(J13:J15)</f>
        <v>39.770000000000003</v>
      </c>
      <c r="M13" s="579" t="s">
        <v>184</v>
      </c>
    </row>
    <row r="14" spans="1:14" s="2" customFormat="1" ht="21.95" customHeight="1">
      <c r="A14" s="455"/>
      <c r="B14" s="156" t="s">
        <v>16</v>
      </c>
      <c r="C14" s="282" t="s">
        <v>17</v>
      </c>
      <c r="D14" s="283">
        <v>39.25</v>
      </c>
      <c r="E14" s="452"/>
      <c r="F14" s="465"/>
      <c r="G14" s="455"/>
      <c r="H14" s="156" t="s">
        <v>16</v>
      </c>
      <c r="I14" s="282" t="s">
        <v>17</v>
      </c>
      <c r="J14" s="283">
        <v>39.770000000000003</v>
      </c>
      <c r="K14" s="452"/>
      <c r="M14" s="579"/>
    </row>
    <row r="15" spans="1:14" s="2" customFormat="1" ht="21.95" customHeight="1" thickBot="1">
      <c r="A15" s="456"/>
      <c r="B15" s="300" t="s">
        <v>24</v>
      </c>
      <c r="C15" s="297" t="s">
        <v>77</v>
      </c>
      <c r="D15" s="298">
        <v>39.4</v>
      </c>
      <c r="E15" s="453"/>
      <c r="F15" s="465"/>
      <c r="G15" s="456"/>
      <c r="H15" s="300" t="s">
        <v>169</v>
      </c>
      <c r="I15" s="297" t="s">
        <v>77</v>
      </c>
      <c r="J15" s="298">
        <v>39.82</v>
      </c>
      <c r="K15" s="453"/>
      <c r="M15" s="579" t="s">
        <v>185</v>
      </c>
    </row>
    <row r="16" spans="1:14" s="2" customFormat="1" ht="21.95" customHeight="1">
      <c r="A16" s="454">
        <v>14</v>
      </c>
      <c r="B16" s="301" t="s">
        <v>18</v>
      </c>
      <c r="C16" s="295" t="s">
        <v>15</v>
      </c>
      <c r="D16" s="296">
        <v>39.159999999999997</v>
      </c>
      <c r="E16" s="451">
        <f>AVERAGE(D16:D18)</f>
        <v>39.406666666666666</v>
      </c>
      <c r="F16" s="465"/>
      <c r="G16" s="454">
        <v>13</v>
      </c>
      <c r="H16" s="301" t="s">
        <v>97</v>
      </c>
      <c r="I16" s="295" t="s">
        <v>15</v>
      </c>
      <c r="J16" s="296">
        <v>39.69</v>
      </c>
      <c r="K16" s="451">
        <f>AVERAGE(J16:J18)</f>
        <v>39.793333333333329</v>
      </c>
      <c r="M16" s="579" t="s">
        <v>186</v>
      </c>
      <c r="N16"/>
    </row>
    <row r="17" spans="1:14" s="2" customFormat="1" ht="21.95" customHeight="1">
      <c r="A17" s="455"/>
      <c r="B17" s="156" t="s">
        <v>23</v>
      </c>
      <c r="C17" s="282" t="s">
        <v>70</v>
      </c>
      <c r="D17" s="283">
        <v>39.380000000000003</v>
      </c>
      <c r="E17" s="452"/>
      <c r="F17" s="465"/>
      <c r="G17" s="455"/>
      <c r="H17" s="285" t="s">
        <v>136</v>
      </c>
      <c r="I17" s="282" t="s">
        <v>118</v>
      </c>
      <c r="J17" s="283">
        <v>39.82</v>
      </c>
      <c r="K17" s="452"/>
      <c r="M17" s="69"/>
    </row>
    <row r="18" spans="1:14" s="2" customFormat="1" ht="21.95" customHeight="1" thickBot="1">
      <c r="A18" s="456"/>
      <c r="B18" s="157" t="s">
        <v>23</v>
      </c>
      <c r="C18" s="297" t="s">
        <v>70</v>
      </c>
      <c r="D18" s="298">
        <v>39.68</v>
      </c>
      <c r="E18" s="453"/>
      <c r="F18" s="465"/>
      <c r="G18" s="456"/>
      <c r="H18" s="299" t="s">
        <v>125</v>
      </c>
      <c r="I18" s="297" t="s">
        <v>124</v>
      </c>
      <c r="J18" s="298">
        <v>39.869999999999997</v>
      </c>
      <c r="K18" s="453"/>
      <c r="M18" s="69"/>
    </row>
    <row r="19" spans="1:14" s="2" customFormat="1" ht="21.95" customHeight="1">
      <c r="A19" s="454">
        <v>15</v>
      </c>
      <c r="B19" s="294" t="s">
        <v>22</v>
      </c>
      <c r="C19" s="295" t="s">
        <v>70</v>
      </c>
      <c r="D19" s="296">
        <v>39.39</v>
      </c>
      <c r="E19" s="451">
        <f>AVERAGE(D19:D21)</f>
        <v>39.476666666666667</v>
      </c>
      <c r="F19" s="465"/>
      <c r="G19" s="431">
        <v>10</v>
      </c>
      <c r="H19" s="294" t="s">
        <v>16</v>
      </c>
      <c r="I19" s="295" t="s">
        <v>17</v>
      </c>
      <c r="J19" s="296">
        <v>39.86</v>
      </c>
      <c r="K19" s="449">
        <f>AVERAGE(J19:J20)</f>
        <v>39.924999999999997</v>
      </c>
      <c r="M19" s="69"/>
    </row>
    <row r="20" spans="1:14" s="2" customFormat="1" ht="21.95" customHeight="1" thickBot="1">
      <c r="A20" s="455"/>
      <c r="B20" s="284" t="s">
        <v>24</v>
      </c>
      <c r="C20" s="282" t="s">
        <v>77</v>
      </c>
      <c r="D20" s="283">
        <v>39.450000000000003</v>
      </c>
      <c r="E20" s="452"/>
      <c r="F20" s="465"/>
      <c r="G20" s="432"/>
      <c r="H20" s="300" t="s">
        <v>20</v>
      </c>
      <c r="I20" s="297" t="s">
        <v>61</v>
      </c>
      <c r="J20" s="298">
        <v>39.99</v>
      </c>
      <c r="K20" s="450"/>
      <c r="M20" s="69"/>
      <c r="N20"/>
    </row>
    <row r="21" spans="1:14" s="2" customFormat="1" ht="21.95" customHeight="1" thickBot="1">
      <c r="A21" s="456"/>
      <c r="B21" s="300" t="s">
        <v>19</v>
      </c>
      <c r="C21" s="297" t="s">
        <v>61</v>
      </c>
      <c r="D21" s="298">
        <v>39.590000000000003</v>
      </c>
      <c r="E21" s="453"/>
      <c r="F21" s="465"/>
      <c r="G21" s="454">
        <v>4</v>
      </c>
      <c r="H21" s="294" t="s">
        <v>16</v>
      </c>
      <c r="I21" s="295" t="s">
        <v>17</v>
      </c>
      <c r="J21" s="296">
        <v>40</v>
      </c>
      <c r="K21" s="451">
        <f>AVERAGE(J21:J23)</f>
        <v>40.076666666666675</v>
      </c>
      <c r="M21" s="71"/>
      <c r="N21"/>
    </row>
    <row r="22" spans="1:14" s="2" customFormat="1" ht="21.95" customHeight="1">
      <c r="A22" s="454">
        <v>9</v>
      </c>
      <c r="B22" s="294" t="s">
        <v>22</v>
      </c>
      <c r="C22" s="295" t="s">
        <v>70</v>
      </c>
      <c r="D22" s="296">
        <v>39.33</v>
      </c>
      <c r="E22" s="451">
        <f>AVERAGE(D22:D24)</f>
        <v>39.523333333333333</v>
      </c>
      <c r="F22" s="466"/>
      <c r="G22" s="455"/>
      <c r="H22" s="284" t="s">
        <v>20</v>
      </c>
      <c r="I22" s="282" t="s">
        <v>61</v>
      </c>
      <c r="J22" s="283">
        <v>40.020000000000003</v>
      </c>
      <c r="K22" s="452"/>
      <c r="M22" s="71"/>
      <c r="N22"/>
    </row>
    <row r="23" spans="1:14" s="2" customFormat="1" ht="21.95" customHeight="1" thickBot="1">
      <c r="A23" s="455"/>
      <c r="B23" s="156" t="s">
        <v>23</v>
      </c>
      <c r="C23" s="282" t="s">
        <v>70</v>
      </c>
      <c r="D23" s="283">
        <v>39.39</v>
      </c>
      <c r="E23" s="452"/>
      <c r="F23" s="466"/>
      <c r="G23" s="456"/>
      <c r="H23" s="299" t="s">
        <v>136</v>
      </c>
      <c r="I23" s="581" t="s">
        <v>118</v>
      </c>
      <c r="J23" s="298">
        <v>40.21</v>
      </c>
      <c r="K23" s="453"/>
      <c r="M23" s="71"/>
      <c r="N23"/>
    </row>
    <row r="24" spans="1:14" s="2" customFormat="1" ht="21.95" customHeight="1" thickBot="1">
      <c r="A24" s="456"/>
      <c r="B24" s="157" t="s">
        <v>21</v>
      </c>
      <c r="C24" s="297" t="s">
        <v>17</v>
      </c>
      <c r="D24" s="298">
        <v>39.85</v>
      </c>
      <c r="E24" s="453"/>
      <c r="F24" s="466"/>
      <c r="G24" s="454">
        <v>12</v>
      </c>
      <c r="H24" s="294" t="s">
        <v>23</v>
      </c>
      <c r="I24" s="295" t="s">
        <v>70</v>
      </c>
      <c r="J24" s="296">
        <v>40.01</v>
      </c>
      <c r="K24" s="451">
        <f>AVERAGE(J24:J26)</f>
        <v>40.120000000000005</v>
      </c>
      <c r="M24" s="71"/>
    </row>
    <row r="25" spans="1:14" ht="26.45" customHeight="1">
      <c r="G25" s="455"/>
      <c r="H25" s="156" t="s">
        <v>18</v>
      </c>
      <c r="I25" s="282" t="s">
        <v>15</v>
      </c>
      <c r="J25" s="283">
        <v>40.14</v>
      </c>
      <c r="K25" s="452"/>
    </row>
    <row r="26" spans="1:14" ht="24.6" customHeight="1" thickBot="1">
      <c r="G26" s="456"/>
      <c r="H26" s="70" t="s">
        <v>25</v>
      </c>
      <c r="I26" s="297" t="s">
        <v>77</v>
      </c>
      <c r="J26" s="298">
        <v>40.21</v>
      </c>
      <c r="K26" s="453"/>
    </row>
    <row r="27" spans="1:14" ht="27" customHeight="1">
      <c r="I27"/>
      <c r="J27"/>
      <c r="K27"/>
    </row>
    <row r="28" spans="1:14" ht="16.5" customHeight="1">
      <c r="I28"/>
      <c r="J28"/>
      <c r="K28"/>
    </row>
  </sheetData>
  <mergeCells count="39">
    <mergeCell ref="K24:K26"/>
    <mergeCell ref="I5:I6"/>
    <mergeCell ref="H5:H6"/>
    <mergeCell ref="A19:A21"/>
    <mergeCell ref="A10:A12"/>
    <mergeCell ref="A7:A9"/>
    <mergeCell ref="K21:K23"/>
    <mergeCell ref="F5:F24"/>
    <mergeCell ref="G5:G6"/>
    <mergeCell ref="G7:G9"/>
    <mergeCell ref="K7:K9"/>
    <mergeCell ref="G21:G23"/>
    <mergeCell ref="A22:A24"/>
    <mergeCell ref="E22:E24"/>
    <mergeCell ref="J5:J6"/>
    <mergeCell ref="K5:K6"/>
    <mergeCell ref="A13:A15"/>
    <mergeCell ref="E13:E15"/>
    <mergeCell ref="G24:G26"/>
    <mergeCell ref="A16:A18"/>
    <mergeCell ref="E16:E18"/>
    <mergeCell ref="A1:K1"/>
    <mergeCell ref="A3:K3"/>
    <mergeCell ref="A5:A6"/>
    <mergeCell ref="B5:B6"/>
    <mergeCell ref="C5:C6"/>
    <mergeCell ref="D5:D6"/>
    <mergeCell ref="E5:E6"/>
    <mergeCell ref="K10:K12"/>
    <mergeCell ref="E7:E9"/>
    <mergeCell ref="G10:G12"/>
    <mergeCell ref="K13:K15"/>
    <mergeCell ref="G13:G15"/>
    <mergeCell ref="G19:G20"/>
    <mergeCell ref="K19:K20"/>
    <mergeCell ref="K16:K18"/>
    <mergeCell ref="G16:G18"/>
    <mergeCell ref="E10:E12"/>
    <mergeCell ref="E19:E21"/>
  </mergeCells>
  <phoneticPr fontId="0" type="noConversion"/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V64"/>
  <sheetViews>
    <sheetView zoomScale="70" zoomScaleNormal="70" workbookViewId="0">
      <selection activeCell="A39" sqref="A39"/>
    </sheetView>
  </sheetViews>
  <sheetFormatPr defaultRowHeight="15.75"/>
  <cols>
    <col min="1" max="2" width="9.140625" style="72"/>
    <col min="3" max="3" width="4.42578125" customWidth="1"/>
    <col min="5" max="5" width="9" customWidth="1"/>
    <col min="6" max="6" width="9" style="1" customWidth="1"/>
    <col min="11" max="11" width="9.5703125" customWidth="1"/>
    <col min="14" max="14" width="7.85546875" customWidth="1"/>
    <col min="15" max="15" width="19.140625" customWidth="1"/>
    <col min="16" max="16" width="9.28515625" bestFit="1" customWidth="1"/>
    <col min="19" max="19" width="3.85546875" customWidth="1"/>
    <col min="20" max="20" width="6" customWidth="1"/>
    <col min="21" max="21" width="15.7109375" customWidth="1"/>
    <col min="22" max="22" width="10.7109375" style="1" customWidth="1"/>
  </cols>
  <sheetData>
    <row r="1" spans="1:18" ht="18" customHeight="1">
      <c r="A1" s="428" t="s">
        <v>170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</row>
    <row r="2" spans="1:18" ht="3.75" customHeight="1" thickBot="1"/>
    <row r="3" spans="1:18" ht="15.75" customHeight="1" thickBot="1">
      <c r="A3" s="467" t="s">
        <v>88</v>
      </c>
      <c r="B3" s="468"/>
      <c r="D3" s="471" t="s">
        <v>70</v>
      </c>
      <c r="E3" s="472"/>
      <c r="F3" s="473"/>
      <c r="G3" s="469" t="s">
        <v>17</v>
      </c>
      <c r="H3" s="470"/>
      <c r="I3" s="468"/>
      <c r="J3" s="475" t="s">
        <v>118</v>
      </c>
      <c r="K3" s="476"/>
      <c r="L3" s="477"/>
      <c r="N3" s="474" t="s">
        <v>89</v>
      </c>
      <c r="O3" s="474"/>
      <c r="P3" s="474"/>
      <c r="Q3" s="474"/>
    </row>
    <row r="4" spans="1:18" s="2" customFormat="1" ht="18" customHeight="1" thickBot="1">
      <c r="A4" s="73" t="s">
        <v>75</v>
      </c>
      <c r="B4" s="74" t="s">
        <v>44</v>
      </c>
      <c r="D4" s="190" t="s">
        <v>90</v>
      </c>
      <c r="E4" s="76" t="s">
        <v>91</v>
      </c>
      <c r="F4" s="77" t="s">
        <v>92</v>
      </c>
      <c r="G4" s="365" t="s">
        <v>90</v>
      </c>
      <c r="H4" s="366" t="s">
        <v>91</v>
      </c>
      <c r="I4" s="367" t="s">
        <v>92</v>
      </c>
      <c r="J4" s="190" t="s">
        <v>90</v>
      </c>
      <c r="K4" s="76" t="s">
        <v>91</v>
      </c>
      <c r="L4" s="77" t="s">
        <v>92</v>
      </c>
      <c r="N4" s="478" t="s">
        <v>39</v>
      </c>
      <c r="O4" s="481" t="s">
        <v>3</v>
      </c>
      <c r="P4" s="484" t="s">
        <v>93</v>
      </c>
      <c r="Q4" s="485"/>
    </row>
    <row r="5" spans="1:18" ht="15" customHeight="1">
      <c r="A5" s="186">
        <v>1</v>
      </c>
      <c r="B5" s="78">
        <v>39.29</v>
      </c>
      <c r="D5" s="79">
        <v>14</v>
      </c>
      <c r="E5" s="228">
        <v>20</v>
      </c>
      <c r="F5" s="80">
        <f>(VLOOKUP(D5,$A$5:$B$17,2)-$B$7)*E5</f>
        <v>3.1999999999999318</v>
      </c>
      <c r="G5" s="368">
        <v>3</v>
      </c>
      <c r="H5" s="228">
        <v>38</v>
      </c>
      <c r="I5" s="159">
        <f>(VLOOKUP(G5,$A$5:$B$17,2)-$B$7)*H5</f>
        <v>0</v>
      </c>
      <c r="J5" s="362">
        <v>1</v>
      </c>
      <c r="K5" s="81">
        <v>42</v>
      </c>
      <c r="L5" s="80">
        <f>(VLOOKUP(J5,$A$5:$B$17,2)-$B$7)*K5</f>
        <v>1.6799999999999642</v>
      </c>
      <c r="N5" s="479"/>
      <c r="O5" s="482"/>
      <c r="P5" s="486"/>
      <c r="Q5" s="487"/>
    </row>
    <row r="6" spans="1:18" ht="15" customHeight="1" thickBot="1">
      <c r="A6" s="187">
        <v>2</v>
      </c>
      <c r="B6" s="82">
        <v>39.770000000000003</v>
      </c>
      <c r="D6" s="89">
        <v>21</v>
      </c>
      <c r="E6" s="191">
        <v>33</v>
      </c>
      <c r="F6" s="80">
        <f t="shared" ref="F6:F12" si="0">(VLOOKUP(D6,$A$5:$B$17,2)-$B$7)*E6</f>
        <v>11.550000000000047</v>
      </c>
      <c r="G6" s="87">
        <v>9</v>
      </c>
      <c r="H6" s="191">
        <v>20</v>
      </c>
      <c r="I6" s="83">
        <f t="shared" ref="I6:I12" si="1">(VLOOKUP(G6,$A$5:$B$17,2)-$B$7)*H6</f>
        <v>5.4000000000000625</v>
      </c>
      <c r="J6" s="363">
        <v>88</v>
      </c>
      <c r="K6" s="191">
        <v>66</v>
      </c>
      <c r="L6" s="80">
        <f t="shared" ref="L6:L12" si="2">(VLOOKUP(J6,$A$5:$B$17,2)-$B$7)*K6</f>
        <v>1.3200000000002063</v>
      </c>
      <c r="N6" s="480"/>
      <c r="O6" s="483"/>
      <c r="P6" s="85" t="s">
        <v>44</v>
      </c>
      <c r="Q6" s="86" t="s">
        <v>45</v>
      </c>
    </row>
    <row r="7" spans="1:18" ht="15" customHeight="1">
      <c r="A7" s="187">
        <v>3</v>
      </c>
      <c r="B7" s="82">
        <v>39.25</v>
      </c>
      <c r="D7" s="89">
        <v>3</v>
      </c>
      <c r="E7" s="88">
        <v>72</v>
      </c>
      <c r="F7" s="80">
        <f t="shared" si="0"/>
        <v>0</v>
      </c>
      <c r="G7" s="87">
        <v>1</v>
      </c>
      <c r="H7" s="191">
        <v>72</v>
      </c>
      <c r="I7" s="83">
        <f t="shared" si="1"/>
        <v>2.8799999999999386</v>
      </c>
      <c r="J7" s="363">
        <v>4</v>
      </c>
      <c r="K7" s="191">
        <v>26</v>
      </c>
      <c r="L7" s="80">
        <f t="shared" si="2"/>
        <v>21.579999999999956</v>
      </c>
      <c r="N7" s="488">
        <v>1</v>
      </c>
      <c r="O7" s="490" t="s">
        <v>70</v>
      </c>
      <c r="P7" s="492">
        <f>I13-I13</f>
        <v>0</v>
      </c>
      <c r="Q7" s="494">
        <v>0</v>
      </c>
    </row>
    <row r="8" spans="1:18" ht="15" customHeight="1">
      <c r="A8" s="187">
        <v>4</v>
      </c>
      <c r="B8" s="82">
        <v>40.08</v>
      </c>
      <c r="D8" s="89">
        <v>12</v>
      </c>
      <c r="E8" s="88">
        <v>21</v>
      </c>
      <c r="F8" s="384">
        <f t="shared" si="0"/>
        <v>18.269999999999946</v>
      </c>
      <c r="G8" s="87">
        <v>2</v>
      </c>
      <c r="H8" s="191">
        <v>50</v>
      </c>
      <c r="I8" s="383">
        <f t="shared" si="1"/>
        <v>26.000000000000156</v>
      </c>
      <c r="J8" s="364">
        <v>1</v>
      </c>
      <c r="K8" s="191">
        <v>70</v>
      </c>
      <c r="L8" s="80">
        <f t="shared" si="2"/>
        <v>2.7999999999999403</v>
      </c>
      <c r="N8" s="489"/>
      <c r="O8" s="491"/>
      <c r="P8" s="493"/>
      <c r="Q8" s="495"/>
    </row>
    <row r="9" spans="1:18" ht="15" customHeight="1">
      <c r="A9" s="187">
        <v>7</v>
      </c>
      <c r="B9" s="82">
        <v>39.53</v>
      </c>
      <c r="D9" s="89">
        <v>14</v>
      </c>
      <c r="E9" s="88">
        <v>58</v>
      </c>
      <c r="F9" s="80">
        <f t="shared" si="0"/>
        <v>9.2799999999998022</v>
      </c>
      <c r="G9" s="87">
        <v>88</v>
      </c>
      <c r="H9" s="191">
        <v>26</v>
      </c>
      <c r="I9" s="83">
        <f t="shared" si="1"/>
        <v>0.52000000000008129</v>
      </c>
      <c r="J9" s="363">
        <v>15</v>
      </c>
      <c r="K9" s="191">
        <v>22</v>
      </c>
      <c r="L9" s="80">
        <f t="shared" si="2"/>
        <v>5.0599999999999312</v>
      </c>
      <c r="N9" s="489">
        <v>3</v>
      </c>
      <c r="O9" s="498" t="s">
        <v>17</v>
      </c>
      <c r="P9" s="496">
        <f>I13-F13</f>
        <v>14.07000000000005</v>
      </c>
      <c r="Q9" s="497">
        <f>P9/$B$18</f>
        <v>0.35513746505125937</v>
      </c>
    </row>
    <row r="10" spans="1:18" ht="15" customHeight="1">
      <c r="A10" s="187">
        <v>9</v>
      </c>
      <c r="B10" s="82">
        <v>39.520000000000003</v>
      </c>
      <c r="D10" s="89">
        <v>9</v>
      </c>
      <c r="E10" s="88">
        <v>59</v>
      </c>
      <c r="F10" s="80">
        <f t="shared" si="0"/>
        <v>15.930000000000184</v>
      </c>
      <c r="G10" s="87">
        <v>7</v>
      </c>
      <c r="H10" s="191">
        <v>61</v>
      </c>
      <c r="I10" s="83">
        <f t="shared" si="1"/>
        <v>17.080000000000069</v>
      </c>
      <c r="J10" s="364">
        <v>88</v>
      </c>
      <c r="K10" s="191">
        <v>26</v>
      </c>
      <c r="L10" s="80">
        <f t="shared" si="2"/>
        <v>0.52000000000008129</v>
      </c>
      <c r="N10" s="489"/>
      <c r="O10" s="491"/>
      <c r="P10" s="493"/>
      <c r="Q10" s="495"/>
    </row>
    <row r="11" spans="1:18" ht="15" customHeight="1">
      <c r="A11" s="187">
        <v>10</v>
      </c>
      <c r="B11" s="82">
        <v>39.93</v>
      </c>
      <c r="D11" s="89">
        <v>88</v>
      </c>
      <c r="E11" s="88">
        <v>56</v>
      </c>
      <c r="F11" s="80">
        <f t="shared" si="0"/>
        <v>1.1200000000001751</v>
      </c>
      <c r="G11" s="87">
        <v>1</v>
      </c>
      <c r="H11" s="191">
        <v>53</v>
      </c>
      <c r="I11" s="83">
        <f t="shared" si="1"/>
        <v>2.1199999999999548</v>
      </c>
      <c r="J11" s="364">
        <v>2</v>
      </c>
      <c r="K11" s="191">
        <v>47</v>
      </c>
      <c r="L11" s="384">
        <f t="shared" si="2"/>
        <v>24.440000000000147</v>
      </c>
      <c r="N11" s="489">
        <v>2</v>
      </c>
      <c r="O11" s="500" t="s">
        <v>118</v>
      </c>
      <c r="P11" s="496">
        <f>L13-F13</f>
        <v>21.850000000000023</v>
      </c>
      <c r="Q11" s="497">
        <f>P11/$B$18</f>
        <v>0.55151056228642481</v>
      </c>
    </row>
    <row r="12" spans="1:18" ht="16.5" thickBot="1">
      <c r="A12" s="187">
        <v>12</v>
      </c>
      <c r="B12" s="82">
        <v>40.119999999999997</v>
      </c>
      <c r="D12" s="87">
        <v>88</v>
      </c>
      <c r="E12" s="191">
        <v>25</v>
      </c>
      <c r="F12" s="80">
        <f t="shared" si="0"/>
        <v>0.50000000000007816</v>
      </c>
      <c r="G12" s="91">
        <v>4</v>
      </c>
      <c r="H12" s="28">
        <v>24</v>
      </c>
      <c r="I12" s="160">
        <f t="shared" si="1"/>
        <v>19.919999999999959</v>
      </c>
      <c r="J12" s="363">
        <v>13</v>
      </c>
      <c r="K12" s="191">
        <v>45</v>
      </c>
      <c r="L12" s="80">
        <f t="shared" si="2"/>
        <v>24.299999999999962</v>
      </c>
      <c r="N12" s="489"/>
      <c r="O12" s="491"/>
      <c r="P12" s="493"/>
      <c r="Q12" s="495"/>
    </row>
    <row r="13" spans="1:18" ht="16.5" thickBot="1">
      <c r="A13" s="187">
        <v>13</v>
      </c>
      <c r="B13" s="82">
        <v>39.79</v>
      </c>
      <c r="D13" s="507" t="s">
        <v>94</v>
      </c>
      <c r="E13" s="508"/>
      <c r="F13" s="387">
        <f>SUM(F5:F12)</f>
        <v>59.850000000000165</v>
      </c>
      <c r="G13" s="501" t="s">
        <v>94</v>
      </c>
      <c r="H13" s="502"/>
      <c r="I13" s="385">
        <f>SUM(I5:I12)</f>
        <v>73.920000000000215</v>
      </c>
      <c r="J13" s="188" t="s">
        <v>94</v>
      </c>
      <c r="K13" s="189"/>
      <c r="L13" s="166">
        <f>SUM(L5:L12)</f>
        <v>81.700000000000188</v>
      </c>
      <c r="N13" s="489">
        <v>4</v>
      </c>
      <c r="O13" s="491" t="s">
        <v>78</v>
      </c>
      <c r="P13" s="496">
        <f>F25-F13</f>
        <v>41.039999999999409</v>
      </c>
      <c r="Q13" s="497">
        <f>P13/$B$18</f>
        <v>1.0358807082944863</v>
      </c>
    </row>
    <row r="14" spans="1:18" ht="16.5" thickBot="1">
      <c r="A14" s="187">
        <v>14</v>
      </c>
      <c r="B14" s="82">
        <v>39.409999999999997</v>
      </c>
      <c r="D14" s="93"/>
      <c r="E14" s="93"/>
      <c r="F14" s="93"/>
      <c r="G14" s="93"/>
      <c r="H14" s="93"/>
      <c r="I14" s="93"/>
      <c r="J14" s="93"/>
      <c r="K14" s="93"/>
      <c r="L14" s="94"/>
      <c r="M14" s="94"/>
      <c r="N14" s="489"/>
      <c r="O14" s="491"/>
      <c r="P14" s="493"/>
      <c r="Q14" s="495"/>
    </row>
    <row r="15" spans="1:18">
      <c r="A15" s="187">
        <v>15</v>
      </c>
      <c r="B15" s="82">
        <v>39.479999999999997</v>
      </c>
      <c r="D15" s="499" t="s">
        <v>78</v>
      </c>
      <c r="E15" s="472"/>
      <c r="F15" s="473"/>
      <c r="G15" s="471" t="s">
        <v>77</v>
      </c>
      <c r="H15" s="472"/>
      <c r="I15" s="473"/>
      <c r="J15" s="471" t="s">
        <v>15</v>
      </c>
      <c r="K15" s="472"/>
      <c r="L15" s="473"/>
      <c r="N15" s="489">
        <v>5</v>
      </c>
      <c r="O15" s="498" t="s">
        <v>55</v>
      </c>
      <c r="P15" s="496">
        <f>I25-F13</f>
        <v>45.61999999999999</v>
      </c>
      <c r="Q15" s="497">
        <f>P15/$B$18</f>
        <v>1.1514833799316553</v>
      </c>
    </row>
    <row r="16" spans="1:18" ht="16.5" thickBot="1">
      <c r="A16" s="187">
        <v>21</v>
      </c>
      <c r="B16" s="90">
        <v>39.6</v>
      </c>
      <c r="D16" s="190" t="s">
        <v>90</v>
      </c>
      <c r="E16" s="76" t="s">
        <v>91</v>
      </c>
      <c r="F16" s="77" t="s">
        <v>92</v>
      </c>
      <c r="G16" s="95" t="s">
        <v>90</v>
      </c>
      <c r="H16" s="96" t="s">
        <v>91</v>
      </c>
      <c r="I16" s="97" t="s">
        <v>92</v>
      </c>
      <c r="J16" s="75" t="s">
        <v>90</v>
      </c>
      <c r="K16" s="76" t="s">
        <v>91</v>
      </c>
      <c r="L16" s="77" t="s">
        <v>92</v>
      </c>
      <c r="N16" s="489"/>
      <c r="O16" s="491"/>
      <c r="P16" s="493"/>
      <c r="Q16" s="495"/>
    </row>
    <row r="17" spans="1:22" ht="16.5" thickBot="1">
      <c r="A17" s="95">
        <v>88</v>
      </c>
      <c r="B17" s="97">
        <v>39.270000000000003</v>
      </c>
      <c r="D17" s="79">
        <v>7</v>
      </c>
      <c r="E17" s="81">
        <v>42</v>
      </c>
      <c r="F17" s="80">
        <f>(VLOOKUP(D17,$A$5:$B$17,2)-$B$7)*E17</f>
        <v>11.760000000000048</v>
      </c>
      <c r="G17" s="111">
        <v>2</v>
      </c>
      <c r="H17" s="81">
        <v>42</v>
      </c>
      <c r="I17" s="80">
        <f>(VLOOKUP(G17,$A$5:$B$17,2)-$B$7)*H17</f>
        <v>21.840000000000131</v>
      </c>
      <c r="J17" s="79">
        <v>12</v>
      </c>
      <c r="K17" s="108">
        <v>38</v>
      </c>
      <c r="L17" s="386">
        <f>(VLOOKUP(J17,$A$5:$B$17,2)-$B$7)*K17</f>
        <v>33.059999999999903</v>
      </c>
      <c r="N17" s="489">
        <v>6</v>
      </c>
      <c r="O17" s="498" t="s">
        <v>15</v>
      </c>
      <c r="P17" s="496">
        <f>L25-F13</f>
        <v>60.449999999999847</v>
      </c>
      <c r="Q17" s="497">
        <f>P17/$B$18</f>
        <v>1.5258038210624376</v>
      </c>
    </row>
    <row r="18" spans="1:22" ht="16.5" thickBot="1">
      <c r="A18" s="360" t="s">
        <v>95</v>
      </c>
      <c r="B18" s="361">
        <f>AVERAGE(B5:B17)</f>
        <v>39.618461538461546</v>
      </c>
      <c r="D18" s="87">
        <v>10</v>
      </c>
      <c r="E18" s="191">
        <v>24</v>
      </c>
      <c r="F18" s="80">
        <f t="shared" ref="F18:F24" si="3">(VLOOKUP(D18,$A$5:$B$17,2)-$B$7)*E18</f>
        <v>16.319999999999993</v>
      </c>
      <c r="G18" s="112">
        <v>12</v>
      </c>
      <c r="H18" s="3">
        <v>23</v>
      </c>
      <c r="I18" s="80">
        <f t="shared" ref="I18:I24" si="4">(VLOOKUP(G18,$A$5:$B$17,2)-$B$7)*H18</f>
        <v>20.009999999999941</v>
      </c>
      <c r="J18" s="89">
        <v>14</v>
      </c>
      <c r="K18" s="88">
        <v>30</v>
      </c>
      <c r="L18" s="80">
        <f t="shared" ref="L18:L24" si="5">(VLOOKUP(J18,$A$5:$B$17,2)-$B$7)*K18</f>
        <v>4.7999999999998977</v>
      </c>
      <c r="N18" s="489"/>
      <c r="O18" s="491"/>
      <c r="P18" s="493"/>
      <c r="Q18" s="495"/>
    </row>
    <row r="19" spans="1:22" ht="15.75" customHeight="1">
      <c r="D19" s="87">
        <v>7</v>
      </c>
      <c r="E19" s="88">
        <v>61</v>
      </c>
      <c r="F19" s="80">
        <f t="shared" si="3"/>
        <v>17.080000000000069</v>
      </c>
      <c r="G19" s="112">
        <v>2</v>
      </c>
      <c r="H19" s="3">
        <v>60</v>
      </c>
      <c r="I19" s="386">
        <f t="shared" si="4"/>
        <v>31.200000000000188</v>
      </c>
      <c r="J19" s="89">
        <v>21</v>
      </c>
      <c r="K19" s="88">
        <v>57</v>
      </c>
      <c r="L19" s="80">
        <f t="shared" si="5"/>
        <v>19.950000000000081</v>
      </c>
      <c r="N19" s="503">
        <v>7</v>
      </c>
      <c r="O19" s="504" t="s">
        <v>124</v>
      </c>
      <c r="P19" s="496">
        <f>F39-F13</f>
        <v>84.940000000000055</v>
      </c>
      <c r="Q19" s="506">
        <f>P19/$B$18</f>
        <v>2.143949984467227</v>
      </c>
    </row>
    <row r="20" spans="1:22">
      <c r="D20" s="89">
        <v>15</v>
      </c>
      <c r="E20" s="88">
        <v>53</v>
      </c>
      <c r="F20" s="80">
        <f t="shared" si="3"/>
        <v>12.189999999999834</v>
      </c>
      <c r="G20" s="112">
        <v>3</v>
      </c>
      <c r="H20" s="3">
        <v>53</v>
      </c>
      <c r="I20" s="80">
        <f t="shared" si="4"/>
        <v>0</v>
      </c>
      <c r="J20" s="89">
        <v>88</v>
      </c>
      <c r="K20" s="88">
        <v>53</v>
      </c>
      <c r="L20" s="80">
        <f t="shared" si="5"/>
        <v>1.0600000000001657</v>
      </c>
      <c r="N20" s="489"/>
      <c r="O20" s="505"/>
      <c r="P20" s="493"/>
      <c r="Q20" s="495"/>
    </row>
    <row r="21" spans="1:22">
      <c r="D21" s="89">
        <v>3</v>
      </c>
      <c r="E21" s="88">
        <v>38</v>
      </c>
      <c r="F21" s="80">
        <f t="shared" si="3"/>
        <v>0</v>
      </c>
      <c r="G21" s="112">
        <v>21</v>
      </c>
      <c r="H21" s="3">
        <v>28</v>
      </c>
      <c r="I21" s="80">
        <f t="shared" si="4"/>
        <v>9.8000000000000398</v>
      </c>
      <c r="J21" s="98">
        <v>13</v>
      </c>
      <c r="K21" s="88">
        <v>42</v>
      </c>
      <c r="L21" s="80">
        <f t="shared" si="5"/>
        <v>22.679999999999964</v>
      </c>
      <c r="N21" s="489">
        <v>8</v>
      </c>
      <c r="O21" s="491" t="s">
        <v>58</v>
      </c>
      <c r="P21" s="517">
        <f>I37-F13</f>
        <v>99.559999999999434</v>
      </c>
      <c r="Q21" s="519">
        <f>P21/$B$18</f>
        <v>2.5129698664181275</v>
      </c>
    </row>
    <row r="22" spans="1:22" ht="16.5" thickBot="1">
      <c r="D22" s="89">
        <v>4</v>
      </c>
      <c r="E22" s="88">
        <v>32</v>
      </c>
      <c r="F22" s="386">
        <f t="shared" si="3"/>
        <v>26.559999999999945</v>
      </c>
      <c r="G22" s="112">
        <v>1</v>
      </c>
      <c r="H22" s="3">
        <v>56</v>
      </c>
      <c r="I22" s="80">
        <f t="shared" si="4"/>
        <v>2.2399999999999523</v>
      </c>
      <c r="J22" s="89">
        <v>14</v>
      </c>
      <c r="K22" s="88">
        <v>45</v>
      </c>
      <c r="L22" s="80">
        <f t="shared" si="5"/>
        <v>7.1999999999998465</v>
      </c>
      <c r="N22" s="515"/>
      <c r="O22" s="516"/>
      <c r="P22" s="518"/>
      <c r="Q22" s="520"/>
    </row>
    <row r="23" spans="1:22">
      <c r="D23" s="89">
        <v>15</v>
      </c>
      <c r="E23" s="88">
        <v>30</v>
      </c>
      <c r="F23" s="80">
        <f t="shared" si="3"/>
        <v>6.8999999999999062</v>
      </c>
      <c r="G23" s="112">
        <v>7</v>
      </c>
      <c r="H23" s="3">
        <v>35</v>
      </c>
      <c r="I23" s="80">
        <f t="shared" si="4"/>
        <v>9.8000000000000398</v>
      </c>
      <c r="J23" s="89">
        <v>21</v>
      </c>
      <c r="K23" s="88">
        <v>53</v>
      </c>
      <c r="L23" s="80">
        <f t="shared" si="5"/>
        <v>18.550000000000075</v>
      </c>
      <c r="V23"/>
    </row>
    <row r="24" spans="1:22" ht="16.5" thickBot="1">
      <c r="D24" s="87">
        <v>14</v>
      </c>
      <c r="E24" s="191">
        <v>63</v>
      </c>
      <c r="F24" s="80">
        <f t="shared" si="3"/>
        <v>10.079999999999785</v>
      </c>
      <c r="G24" s="117">
        <v>15</v>
      </c>
      <c r="H24" s="3">
        <v>46</v>
      </c>
      <c r="I24" s="80">
        <f t="shared" si="4"/>
        <v>10.579999999999856</v>
      </c>
      <c r="J24" s="87">
        <v>2</v>
      </c>
      <c r="K24" s="109">
        <v>25</v>
      </c>
      <c r="L24" s="80">
        <f t="shared" si="5"/>
        <v>13.000000000000078</v>
      </c>
      <c r="V24"/>
    </row>
    <row r="25" spans="1:22" ht="16.5" thickBot="1">
      <c r="D25" s="507" t="s">
        <v>94</v>
      </c>
      <c r="E25" s="508"/>
      <c r="F25" s="92">
        <f>SUM(F17:F24)</f>
        <v>100.88999999999957</v>
      </c>
      <c r="G25" s="507" t="s">
        <v>94</v>
      </c>
      <c r="H25" s="508"/>
      <c r="I25" s="92">
        <f>SUM(I17:I24)</f>
        <v>105.47000000000016</v>
      </c>
      <c r="J25" s="507" t="s">
        <v>94</v>
      </c>
      <c r="K25" s="508"/>
      <c r="L25" s="99">
        <f>SUM(L17:L24)</f>
        <v>120.30000000000001</v>
      </c>
      <c r="V25"/>
    </row>
    <row r="26" spans="1:22" ht="16.5" thickBot="1">
      <c r="V26"/>
    </row>
    <row r="27" spans="1:22">
      <c r="D27" s="471" t="s">
        <v>124</v>
      </c>
      <c r="E27" s="472"/>
      <c r="F27" s="473"/>
      <c r="G27" s="499" t="s">
        <v>58</v>
      </c>
      <c r="H27" s="472"/>
      <c r="I27" s="473"/>
      <c r="J27" s="512"/>
      <c r="K27" s="513"/>
      <c r="L27" s="514"/>
      <c r="O27" s="389"/>
      <c r="P27" s="388"/>
      <c r="V27"/>
    </row>
    <row r="28" spans="1:22" ht="16.5" thickBot="1">
      <c r="D28" s="373" t="s">
        <v>90</v>
      </c>
      <c r="E28" s="374" t="s">
        <v>91</v>
      </c>
      <c r="F28" s="375" t="s">
        <v>92</v>
      </c>
      <c r="G28" s="373" t="s">
        <v>90</v>
      </c>
      <c r="H28" s="374" t="s">
        <v>91</v>
      </c>
      <c r="I28" s="375" t="s">
        <v>92</v>
      </c>
      <c r="J28" s="161"/>
      <c r="K28" s="162"/>
      <c r="L28" s="163"/>
      <c r="O28" s="390"/>
      <c r="P28" s="388"/>
      <c r="V28"/>
    </row>
    <row r="29" spans="1:22">
      <c r="D29" s="368">
        <v>9</v>
      </c>
      <c r="E29" s="228">
        <v>29</v>
      </c>
      <c r="F29" s="159">
        <f>(VLOOKUP(D29,$A$5:$B$17,2)-$B$7)*E29</f>
        <v>7.8300000000000907</v>
      </c>
      <c r="G29" s="368">
        <v>88</v>
      </c>
      <c r="H29" s="228">
        <v>38</v>
      </c>
      <c r="I29" s="159">
        <f>(VLOOKUP(G29,$A$5:$B$17,2)-$B$7)*H29</f>
        <v>0.7600000000001188</v>
      </c>
      <c r="J29" s="380"/>
      <c r="K29" s="164"/>
      <c r="L29" s="165"/>
      <c r="O29" s="52"/>
      <c r="P29" s="388"/>
      <c r="V29"/>
    </row>
    <row r="30" spans="1:22">
      <c r="D30" s="87">
        <v>13</v>
      </c>
      <c r="E30" s="191">
        <v>41</v>
      </c>
      <c r="F30" s="83">
        <f t="shared" ref="F30:F38" si="6">(VLOOKUP(D30,$A$5:$B$17,2)-$B$7)*E30</f>
        <v>22.139999999999965</v>
      </c>
      <c r="G30" s="87">
        <v>15</v>
      </c>
      <c r="H30" s="191">
        <v>46</v>
      </c>
      <c r="I30" s="83">
        <f t="shared" ref="I30:I35" si="7">(VLOOKUP(G30,$A$5:$B$17,2)-$B$7)*H30</f>
        <v>10.579999999999856</v>
      </c>
      <c r="J30" s="243"/>
      <c r="K30" s="88"/>
      <c r="L30" s="84"/>
      <c r="O30" s="52"/>
      <c r="P30" s="388"/>
      <c r="S30" s="1"/>
      <c r="T30" s="1"/>
      <c r="V30"/>
    </row>
    <row r="31" spans="1:22">
      <c r="D31" s="87">
        <v>9</v>
      </c>
      <c r="E31" s="191">
        <v>24</v>
      </c>
      <c r="F31" s="83">
        <f t="shared" si="6"/>
        <v>6.480000000000075</v>
      </c>
      <c r="G31" s="87">
        <v>15</v>
      </c>
      <c r="H31" s="191">
        <v>47</v>
      </c>
      <c r="I31" s="83">
        <f t="shared" si="7"/>
        <v>10.809999999999853</v>
      </c>
      <c r="J31" s="243"/>
      <c r="K31" s="88"/>
      <c r="L31" s="84"/>
      <c r="O31" s="390"/>
      <c r="P31" s="388"/>
      <c r="S31" s="1"/>
      <c r="T31" s="1"/>
      <c r="V31"/>
    </row>
    <row r="32" spans="1:22">
      <c r="D32" s="87">
        <v>13</v>
      </c>
      <c r="E32" s="88">
        <v>33</v>
      </c>
      <c r="F32" s="83">
        <f t="shared" si="6"/>
        <v>17.819999999999972</v>
      </c>
      <c r="G32" s="87">
        <v>7</v>
      </c>
      <c r="H32" s="88">
        <v>69</v>
      </c>
      <c r="I32" s="83">
        <f t="shared" si="7"/>
        <v>19.320000000000078</v>
      </c>
      <c r="J32" s="381"/>
      <c r="K32" s="88"/>
      <c r="L32" s="84"/>
      <c r="O32" s="390"/>
      <c r="P32" s="388"/>
      <c r="S32" s="1"/>
      <c r="T32" s="1"/>
      <c r="V32"/>
    </row>
    <row r="33" spans="1:22">
      <c r="D33" s="87">
        <v>21</v>
      </c>
      <c r="E33" s="88">
        <v>33</v>
      </c>
      <c r="F33" s="83">
        <f t="shared" si="6"/>
        <v>11.550000000000047</v>
      </c>
      <c r="G33" s="87">
        <v>12</v>
      </c>
      <c r="H33" s="88">
        <v>58</v>
      </c>
      <c r="I33" s="391">
        <f t="shared" si="7"/>
        <v>50.459999999999852</v>
      </c>
      <c r="J33" s="381"/>
      <c r="K33" s="88"/>
      <c r="L33" s="84"/>
      <c r="O33" s="390"/>
      <c r="P33" s="388"/>
      <c r="S33" s="1"/>
      <c r="T33" s="1"/>
      <c r="V33"/>
    </row>
    <row r="34" spans="1:22">
      <c r="D34" s="87">
        <v>4</v>
      </c>
      <c r="E34" s="88">
        <v>37</v>
      </c>
      <c r="F34" s="391">
        <f t="shared" si="6"/>
        <v>30.709999999999937</v>
      </c>
      <c r="G34" s="87">
        <v>4</v>
      </c>
      <c r="H34" s="88">
        <v>53</v>
      </c>
      <c r="I34" s="83">
        <f t="shared" si="7"/>
        <v>43.98999999999991</v>
      </c>
      <c r="J34" s="381"/>
      <c r="K34" s="88"/>
      <c r="L34" s="84"/>
      <c r="O34" s="390"/>
      <c r="P34" s="388"/>
      <c r="S34" s="1"/>
      <c r="T34" s="1"/>
      <c r="V34"/>
    </row>
    <row r="35" spans="1:22">
      <c r="A35" s="100"/>
      <c r="B35" s="100"/>
      <c r="D35" s="87">
        <v>2</v>
      </c>
      <c r="E35" s="88">
        <v>43</v>
      </c>
      <c r="F35" s="83">
        <f t="shared" si="6"/>
        <v>22.360000000000134</v>
      </c>
      <c r="G35" s="87">
        <v>12</v>
      </c>
      <c r="H35" s="88">
        <v>27</v>
      </c>
      <c r="I35" s="83">
        <f t="shared" si="7"/>
        <v>23.489999999999931</v>
      </c>
      <c r="J35" s="381"/>
      <c r="K35" s="88"/>
      <c r="L35" s="84"/>
      <c r="O35" s="390"/>
      <c r="P35" s="388"/>
      <c r="S35" s="1"/>
      <c r="T35" s="1"/>
      <c r="V35"/>
    </row>
    <row r="36" spans="1:22" ht="16.5" thickBot="1">
      <c r="D36" s="87">
        <v>13</v>
      </c>
      <c r="E36" s="191">
        <v>35</v>
      </c>
      <c r="F36" s="83">
        <f t="shared" si="6"/>
        <v>18.89999999999997</v>
      </c>
      <c r="G36" s="91"/>
      <c r="H36" s="28"/>
      <c r="I36" s="160"/>
      <c r="J36" s="381"/>
      <c r="K36" s="88"/>
      <c r="L36" s="84"/>
      <c r="O36" s="390"/>
      <c r="P36" s="388"/>
      <c r="S36" s="1"/>
      <c r="T36" s="1"/>
      <c r="V36"/>
    </row>
    <row r="37" spans="1:22" s="51" customFormat="1" ht="16.5" thickBot="1">
      <c r="A37" s="102"/>
      <c r="B37" s="72"/>
      <c r="D37" s="379">
        <v>3</v>
      </c>
      <c r="E37" s="50">
        <v>34</v>
      </c>
      <c r="F37" s="83">
        <f t="shared" si="6"/>
        <v>0</v>
      </c>
      <c r="G37" s="509" t="s">
        <v>94</v>
      </c>
      <c r="H37" s="502"/>
      <c r="I37" s="382">
        <f>SUM(I29:I36)</f>
        <v>159.4099999999996</v>
      </c>
      <c r="J37" s="510"/>
      <c r="K37" s="511"/>
      <c r="L37" s="166"/>
      <c r="M37"/>
      <c r="N37"/>
      <c r="O37" s="390"/>
      <c r="P37" s="388"/>
      <c r="Q37"/>
      <c r="R37"/>
      <c r="S37" s="101"/>
      <c r="T37" s="101"/>
    </row>
    <row r="38" spans="1:22" s="51" customFormat="1" ht="16.5" thickBot="1">
      <c r="A38" s="102"/>
      <c r="B38" s="72"/>
      <c r="D38" s="377">
        <v>7</v>
      </c>
      <c r="E38" s="378">
        <v>25</v>
      </c>
      <c r="F38" s="160">
        <f t="shared" si="6"/>
        <v>7.0000000000000284</v>
      </c>
      <c r="G38" s="369"/>
      <c r="H38" s="369"/>
      <c r="I38" s="370"/>
      <c r="J38" s="371"/>
      <c r="K38" s="371"/>
      <c r="L38" s="372"/>
      <c r="M38"/>
      <c r="N38"/>
      <c r="O38"/>
      <c r="P38"/>
      <c r="Q38"/>
      <c r="R38"/>
      <c r="S38" s="101"/>
      <c r="T38" s="101"/>
    </row>
    <row r="39" spans="1:22" ht="16.5" thickBot="1">
      <c r="A39" s="102"/>
      <c r="D39" s="501" t="s">
        <v>94</v>
      </c>
      <c r="E39" s="502"/>
      <c r="F39" s="376">
        <f>SUM(F29:F38)</f>
        <v>144.79000000000022</v>
      </c>
      <c r="S39" s="1"/>
      <c r="T39" s="1"/>
      <c r="V39"/>
    </row>
    <row r="40" spans="1:22">
      <c r="A40" s="103"/>
    </row>
    <row r="41" spans="1:22">
      <c r="A41" s="583" t="s">
        <v>198</v>
      </c>
    </row>
    <row r="42" spans="1:22">
      <c r="A42" s="583" t="s">
        <v>199</v>
      </c>
    </row>
    <row r="43" spans="1:22" ht="6" customHeight="1">
      <c r="A43" s="583"/>
    </row>
    <row r="44" spans="1:22">
      <c r="A44" s="583" t="s">
        <v>200</v>
      </c>
    </row>
    <row r="45" spans="1:22" ht="15" customHeight="1">
      <c r="A45" s="583" t="s">
        <v>201</v>
      </c>
    </row>
    <row r="46" spans="1:22" ht="7.5" customHeight="1">
      <c r="A46" s="103"/>
    </row>
    <row r="47" spans="1:22">
      <c r="A47" s="584" t="s">
        <v>202</v>
      </c>
    </row>
    <row r="48" spans="1:22">
      <c r="A48" s="583" t="s">
        <v>203</v>
      </c>
    </row>
    <row r="49" spans="1:22" ht="6.75" customHeight="1">
      <c r="A49" s="102"/>
    </row>
    <row r="50" spans="1:22">
      <c r="A50" s="102"/>
    </row>
    <row r="51" spans="1:22" s="72" customFormat="1">
      <c r="A51" s="102"/>
      <c r="C51"/>
      <c r="D51"/>
      <c r="E51"/>
      <c r="F51" s="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 s="1"/>
    </row>
    <row r="52" spans="1:22" s="72" customFormat="1">
      <c r="A52" s="103"/>
      <c r="C52"/>
      <c r="D52"/>
      <c r="E52"/>
      <c r="F52" s="1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 s="1"/>
    </row>
    <row r="53" spans="1:22">
      <c r="A53" s="102"/>
    </row>
    <row r="54" spans="1:22" s="72" customFormat="1">
      <c r="A54" s="102"/>
      <c r="C54"/>
      <c r="D54"/>
      <c r="E54"/>
      <c r="F54" s="1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 s="1"/>
    </row>
    <row r="55" spans="1:22" s="72" customFormat="1">
      <c r="A55" s="102"/>
      <c r="C55"/>
      <c r="D55"/>
      <c r="E55"/>
      <c r="F55" s="1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 s="1"/>
    </row>
    <row r="56" spans="1:22" s="72" customFormat="1">
      <c r="A56" s="102"/>
      <c r="C56"/>
      <c r="D56"/>
      <c r="E56"/>
      <c r="F56" s="1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 s="1"/>
    </row>
    <row r="57" spans="1:22" s="72" customFormat="1">
      <c r="C57"/>
      <c r="D57"/>
      <c r="E57"/>
      <c r="F57" s="1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 s="1"/>
    </row>
    <row r="58" spans="1:22">
      <c r="A58" s="102"/>
    </row>
    <row r="59" spans="1:22" s="72" customFormat="1">
      <c r="A59" s="102"/>
      <c r="C59"/>
      <c r="D59"/>
      <c r="E59"/>
      <c r="F59" s="1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 s="1"/>
    </row>
    <row r="60" spans="1:22" s="72" customFormat="1">
      <c r="A60" s="102"/>
      <c r="C60"/>
      <c r="D60"/>
      <c r="E60"/>
      <c r="F60" s="1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 s="1"/>
    </row>
    <row r="61" spans="1:22" s="72" customFormat="1">
      <c r="C61"/>
      <c r="D61"/>
      <c r="E61"/>
      <c r="F61" s="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 s="1"/>
    </row>
    <row r="62" spans="1:22">
      <c r="A62" s="102"/>
    </row>
    <row r="63" spans="1:22" s="72" customFormat="1">
      <c r="A63" s="102"/>
      <c r="C63"/>
      <c r="D63"/>
      <c r="E63"/>
      <c r="F63" s="1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 s="1"/>
    </row>
    <row r="64" spans="1:22" s="72" customFormat="1">
      <c r="C64"/>
      <c r="D64"/>
      <c r="E64"/>
      <c r="F64" s="1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 s="1"/>
    </row>
  </sheetData>
  <mergeCells count="55">
    <mergeCell ref="N21:N22"/>
    <mergeCell ref="O21:O22"/>
    <mergeCell ref="P21:P22"/>
    <mergeCell ref="Q21:Q22"/>
    <mergeCell ref="D39:E39"/>
    <mergeCell ref="G37:H37"/>
    <mergeCell ref="J37:K37"/>
    <mergeCell ref="J25:K25"/>
    <mergeCell ref="D25:E25"/>
    <mergeCell ref="G25:H25"/>
    <mergeCell ref="D27:F27"/>
    <mergeCell ref="G27:I27"/>
    <mergeCell ref="J27:L27"/>
    <mergeCell ref="P15:P16"/>
    <mergeCell ref="Q15:Q16"/>
    <mergeCell ref="G13:H13"/>
    <mergeCell ref="N19:N20"/>
    <mergeCell ref="O19:O20"/>
    <mergeCell ref="P19:P20"/>
    <mergeCell ref="Q19:Q20"/>
    <mergeCell ref="N17:N18"/>
    <mergeCell ref="O17:O18"/>
    <mergeCell ref="N13:N14"/>
    <mergeCell ref="O13:O14"/>
    <mergeCell ref="P13:P14"/>
    <mergeCell ref="Q13:Q14"/>
    <mergeCell ref="J15:L15"/>
    <mergeCell ref="P17:P18"/>
    <mergeCell ref="Q17:Q18"/>
    <mergeCell ref="D15:F15"/>
    <mergeCell ref="G15:I15"/>
    <mergeCell ref="N15:N16"/>
    <mergeCell ref="O15:O16"/>
    <mergeCell ref="N11:N12"/>
    <mergeCell ref="O11:O12"/>
    <mergeCell ref="D13:E13"/>
    <mergeCell ref="P11:P12"/>
    <mergeCell ref="Q11:Q12"/>
    <mergeCell ref="N9:N10"/>
    <mergeCell ref="O9:O10"/>
    <mergeCell ref="P9:P10"/>
    <mergeCell ref="Q9:Q10"/>
    <mergeCell ref="N4:N6"/>
    <mergeCell ref="O4:O6"/>
    <mergeCell ref="P4:Q5"/>
    <mergeCell ref="N7:N8"/>
    <mergeCell ref="O7:O8"/>
    <mergeCell ref="P7:P8"/>
    <mergeCell ref="Q7:Q8"/>
    <mergeCell ref="A1:R1"/>
    <mergeCell ref="A3:B3"/>
    <mergeCell ref="G3:I3"/>
    <mergeCell ref="D3:F3"/>
    <mergeCell ref="N3:Q3"/>
    <mergeCell ref="J3:L3"/>
  </mergeCells>
  <phoneticPr fontId="0" type="noConversion"/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H73"/>
  <sheetViews>
    <sheetView workbookViewId="0">
      <selection activeCell="D1" sqref="D1"/>
    </sheetView>
  </sheetViews>
  <sheetFormatPr defaultRowHeight="15"/>
  <cols>
    <col min="1" max="1" width="6.42578125" customWidth="1"/>
    <col min="2" max="2" width="19.7109375" style="38" customWidth="1"/>
    <col min="3" max="3" width="18" style="1" customWidth="1"/>
    <col min="4" max="4" width="9.140625" style="154"/>
    <col min="5" max="5" width="10.7109375" style="155" customWidth="1"/>
    <col min="6" max="6" width="10.7109375" customWidth="1"/>
    <col min="8" max="8" width="9.140625" style="10"/>
  </cols>
  <sheetData>
    <row r="2" spans="1:8" ht="15.75">
      <c r="A2" s="288" t="s">
        <v>71</v>
      </c>
      <c r="B2" s="288" t="s">
        <v>2</v>
      </c>
      <c r="C2" s="288" t="s">
        <v>3</v>
      </c>
      <c r="D2" s="289" t="s">
        <v>72</v>
      </c>
      <c r="E2" s="289" t="s">
        <v>73</v>
      </c>
      <c r="F2" s="288" t="s">
        <v>74</v>
      </c>
      <c r="G2" s="288" t="s">
        <v>75</v>
      </c>
      <c r="H2" s="290" t="s">
        <v>76</v>
      </c>
    </row>
    <row r="3" spans="1:8" ht="15.75">
      <c r="A3" s="291">
        <v>1</v>
      </c>
      <c r="B3" s="150" t="s">
        <v>21</v>
      </c>
      <c r="C3" s="88" t="s">
        <v>17</v>
      </c>
      <c r="D3" s="153">
        <v>39.22</v>
      </c>
      <c r="E3" s="153">
        <v>39.89661971830985</v>
      </c>
      <c r="F3" s="151">
        <f>E3-D3</f>
        <v>0.67661971830985124</v>
      </c>
      <c r="G3" s="280">
        <v>1</v>
      </c>
      <c r="H3" s="88">
        <v>72</v>
      </c>
    </row>
    <row r="4" spans="1:8" ht="15.75">
      <c r="A4" s="291">
        <v>2</v>
      </c>
      <c r="B4" s="150" t="s">
        <v>16</v>
      </c>
      <c r="C4" s="88" t="s">
        <v>17</v>
      </c>
      <c r="D4" s="153">
        <v>39.25</v>
      </c>
      <c r="E4" s="153">
        <v>39.652941176470584</v>
      </c>
      <c r="F4" s="151">
        <f>E4-D4</f>
        <v>0.40294117647058414</v>
      </c>
      <c r="G4" s="280">
        <v>1</v>
      </c>
      <c r="H4" s="88">
        <v>53</v>
      </c>
    </row>
    <row r="5" spans="1:8" ht="15.75">
      <c r="A5" s="291">
        <v>3</v>
      </c>
      <c r="B5" s="392" t="s">
        <v>24</v>
      </c>
      <c r="C5" s="88" t="s">
        <v>77</v>
      </c>
      <c r="D5" s="153">
        <v>39.4</v>
      </c>
      <c r="E5" s="153">
        <v>39.790000000000006</v>
      </c>
      <c r="F5" s="151">
        <f>E5-D5</f>
        <v>0.39000000000000767</v>
      </c>
      <c r="G5" s="88">
        <v>1</v>
      </c>
      <c r="H5" s="88">
        <v>56</v>
      </c>
    </row>
    <row r="6" spans="1:8" ht="15.75">
      <c r="A6" s="291">
        <v>4</v>
      </c>
      <c r="B6" s="279" t="s">
        <v>96</v>
      </c>
      <c r="C6" s="88" t="s">
        <v>118</v>
      </c>
      <c r="D6" s="153">
        <v>39.409999999999997</v>
      </c>
      <c r="E6" s="153">
        <v>39.872753623188402</v>
      </c>
      <c r="F6" s="151">
        <f>E6-D6</f>
        <v>0.46275362318840507</v>
      </c>
      <c r="G6" s="88">
        <v>1</v>
      </c>
      <c r="H6" s="88">
        <v>70</v>
      </c>
    </row>
    <row r="7" spans="1:8" ht="15.75">
      <c r="A7" s="291">
        <v>5</v>
      </c>
      <c r="B7" s="279" t="s">
        <v>136</v>
      </c>
      <c r="C7" s="88" t="s">
        <v>118</v>
      </c>
      <c r="D7" s="153">
        <v>39.82</v>
      </c>
      <c r="E7" s="153">
        <v>40.357857142857135</v>
      </c>
      <c r="F7" s="151">
        <f>E7-D7</f>
        <v>0.53785714285713482</v>
      </c>
      <c r="G7" s="88">
        <v>1</v>
      </c>
      <c r="H7" s="88">
        <v>42</v>
      </c>
    </row>
    <row r="8" spans="1:8" ht="15.75">
      <c r="A8" s="291">
        <v>6</v>
      </c>
      <c r="B8" s="279" t="s">
        <v>18</v>
      </c>
      <c r="C8" s="88" t="s">
        <v>15</v>
      </c>
      <c r="D8" s="153">
        <v>39.72</v>
      </c>
      <c r="E8" s="153">
        <v>39.969166666666659</v>
      </c>
      <c r="F8" s="151">
        <f>E8-D8</f>
        <v>0.24916666666666032</v>
      </c>
      <c r="G8" s="88">
        <v>2</v>
      </c>
      <c r="H8" s="88">
        <v>25</v>
      </c>
    </row>
    <row r="9" spans="1:8" ht="15.75">
      <c r="A9" s="291">
        <v>7</v>
      </c>
      <c r="B9" s="150" t="s">
        <v>16</v>
      </c>
      <c r="C9" s="88" t="s">
        <v>17</v>
      </c>
      <c r="D9" s="153">
        <v>39.770000000000003</v>
      </c>
      <c r="E9" s="153">
        <v>40.156530612244893</v>
      </c>
      <c r="F9" s="151">
        <f>E9-D9</f>
        <v>0.38653061224488994</v>
      </c>
      <c r="G9" s="280">
        <v>2</v>
      </c>
      <c r="H9" s="88">
        <v>50</v>
      </c>
    </row>
    <row r="10" spans="1:8" ht="15.75">
      <c r="A10" s="291">
        <v>8</v>
      </c>
      <c r="B10" s="392" t="s">
        <v>169</v>
      </c>
      <c r="C10" s="88" t="s">
        <v>77</v>
      </c>
      <c r="D10" s="153">
        <v>39.82</v>
      </c>
      <c r="E10" s="153">
        <v>40.331355932203394</v>
      </c>
      <c r="F10" s="151">
        <f>E10-D10</f>
        <v>0.51135593220339359</v>
      </c>
      <c r="G10" s="88">
        <v>2</v>
      </c>
      <c r="H10" s="88">
        <v>60</v>
      </c>
    </row>
    <row r="11" spans="1:8" ht="15.75">
      <c r="A11" s="291">
        <v>9</v>
      </c>
      <c r="B11" s="279" t="s">
        <v>96</v>
      </c>
      <c r="C11" s="88" t="s">
        <v>118</v>
      </c>
      <c r="D11" s="153">
        <v>39.85</v>
      </c>
      <c r="E11" s="153">
        <v>40.165217391304353</v>
      </c>
      <c r="F11" s="151">
        <f>E11-D11</f>
        <v>0.31521739130435122</v>
      </c>
      <c r="G11" s="88">
        <v>2</v>
      </c>
      <c r="H11" s="88">
        <v>47</v>
      </c>
    </row>
    <row r="12" spans="1:8" ht="15.75">
      <c r="A12" s="291">
        <v>10</v>
      </c>
      <c r="B12" s="278" t="s">
        <v>169</v>
      </c>
      <c r="C12" s="88" t="s">
        <v>77</v>
      </c>
      <c r="D12" s="153">
        <v>39.869999999999997</v>
      </c>
      <c r="E12" s="153">
        <v>40.434047619047611</v>
      </c>
      <c r="F12" s="151">
        <f>E12-D12</f>
        <v>0.56404761904761358</v>
      </c>
      <c r="G12" s="88">
        <v>2</v>
      </c>
      <c r="H12" s="88">
        <v>42</v>
      </c>
    </row>
    <row r="13" spans="1:8" ht="15.75">
      <c r="A13" s="291">
        <v>11</v>
      </c>
      <c r="B13" s="279" t="s">
        <v>127</v>
      </c>
      <c r="C13" s="88" t="s">
        <v>124</v>
      </c>
      <c r="D13" s="153">
        <v>40.590000000000003</v>
      </c>
      <c r="E13" s="153">
        <v>41.169761904761899</v>
      </c>
      <c r="F13" s="151">
        <f>E13-D13</f>
        <v>0.57976190476189515</v>
      </c>
      <c r="G13" s="88">
        <v>2</v>
      </c>
      <c r="H13" s="88">
        <v>43</v>
      </c>
    </row>
    <row r="14" spans="1:8" ht="15.75">
      <c r="A14" s="291">
        <v>12</v>
      </c>
      <c r="B14" s="150" t="s">
        <v>21</v>
      </c>
      <c r="C14" s="88" t="s">
        <v>17</v>
      </c>
      <c r="D14" s="153">
        <v>39.159999999999997</v>
      </c>
      <c r="E14" s="153">
        <v>39.433421052631594</v>
      </c>
      <c r="F14" s="151">
        <f>E14-D14</f>
        <v>0.27342105263159766</v>
      </c>
      <c r="G14" s="280">
        <v>3</v>
      </c>
      <c r="H14" s="88">
        <v>39</v>
      </c>
    </row>
    <row r="15" spans="1:8" ht="15.75">
      <c r="A15" s="291">
        <v>13</v>
      </c>
      <c r="B15" s="150" t="s">
        <v>22</v>
      </c>
      <c r="C15" s="88" t="s">
        <v>70</v>
      </c>
      <c r="D15" s="153">
        <v>39.229999999999997</v>
      </c>
      <c r="E15" s="153">
        <v>39.544782608695648</v>
      </c>
      <c r="F15" s="151">
        <f>E15-D15</f>
        <v>0.31478260869565133</v>
      </c>
      <c r="G15" s="258">
        <v>3</v>
      </c>
      <c r="H15" s="88">
        <v>47</v>
      </c>
    </row>
    <row r="16" spans="1:8" ht="15.75">
      <c r="A16" s="291">
        <v>14</v>
      </c>
      <c r="B16" s="392" t="s">
        <v>19</v>
      </c>
      <c r="C16" s="88" t="s">
        <v>78</v>
      </c>
      <c r="D16" s="153">
        <v>39.35</v>
      </c>
      <c r="E16" s="153">
        <v>39.932432432432421</v>
      </c>
      <c r="F16" s="151">
        <f>E16-D16</f>
        <v>0.58243243243241949</v>
      </c>
      <c r="G16" s="88">
        <v>3</v>
      </c>
      <c r="H16" s="88">
        <v>38</v>
      </c>
    </row>
    <row r="17" spans="1:8" ht="15.75">
      <c r="A17" s="291">
        <v>15</v>
      </c>
      <c r="B17" s="150" t="s">
        <v>16</v>
      </c>
      <c r="C17" s="88" t="s">
        <v>17</v>
      </c>
      <c r="D17" s="153">
        <v>39.36</v>
      </c>
      <c r="E17" s="153">
        <v>39.821612903225798</v>
      </c>
      <c r="F17" s="151">
        <f>E17-D17</f>
        <v>0.46161290322579873</v>
      </c>
      <c r="G17" s="88">
        <v>3</v>
      </c>
      <c r="H17" s="88">
        <v>32</v>
      </c>
    </row>
    <row r="18" spans="1:8" ht="15.75">
      <c r="A18" s="291">
        <v>16</v>
      </c>
      <c r="B18" s="392" t="s">
        <v>169</v>
      </c>
      <c r="C18" s="88" t="s">
        <v>77</v>
      </c>
      <c r="D18" s="153">
        <v>39.42</v>
      </c>
      <c r="E18" s="153">
        <v>39.963333333333338</v>
      </c>
      <c r="F18" s="151">
        <f>E18-D18</f>
        <v>0.54333333333333655</v>
      </c>
      <c r="G18" s="88">
        <v>3</v>
      </c>
      <c r="H18" s="88">
        <v>53</v>
      </c>
    </row>
    <row r="19" spans="1:8" ht="15.75">
      <c r="A19" s="291">
        <v>17</v>
      </c>
      <c r="B19" s="279" t="s">
        <v>128</v>
      </c>
      <c r="C19" s="88" t="s">
        <v>124</v>
      </c>
      <c r="D19" s="153">
        <v>39.58</v>
      </c>
      <c r="E19" s="153">
        <v>40.192903225806461</v>
      </c>
      <c r="F19" s="151">
        <f>E19-D19</f>
        <v>0.61290322580646261</v>
      </c>
      <c r="G19" s="88">
        <v>3</v>
      </c>
      <c r="H19" s="88">
        <v>34</v>
      </c>
    </row>
    <row r="20" spans="1:8" ht="15.75">
      <c r="A20" s="291">
        <v>18</v>
      </c>
      <c r="B20" s="150" t="s">
        <v>16</v>
      </c>
      <c r="C20" s="88" t="s">
        <v>17</v>
      </c>
      <c r="D20" s="153">
        <v>40</v>
      </c>
      <c r="E20" s="153">
        <v>40.243478260869566</v>
      </c>
      <c r="F20" s="151">
        <f>E20-D20</f>
        <v>0.24347826086956559</v>
      </c>
      <c r="G20" s="280">
        <v>4</v>
      </c>
      <c r="H20" s="88">
        <v>24</v>
      </c>
    </row>
    <row r="21" spans="1:8" ht="15.75">
      <c r="A21" s="291">
        <v>19</v>
      </c>
      <c r="B21" s="392" t="s">
        <v>20</v>
      </c>
      <c r="C21" s="88" t="s">
        <v>78</v>
      </c>
      <c r="D21" s="153">
        <v>40.020000000000003</v>
      </c>
      <c r="E21" s="153">
        <v>40.56258064516129</v>
      </c>
      <c r="F21" s="151">
        <f>E21-D21</f>
        <v>0.54258064516128712</v>
      </c>
      <c r="G21" s="88">
        <v>4</v>
      </c>
      <c r="H21" s="88">
        <v>32</v>
      </c>
    </row>
    <row r="22" spans="1:8" ht="15.75">
      <c r="A22" s="291">
        <v>20</v>
      </c>
      <c r="B22" s="279" t="s">
        <v>136</v>
      </c>
      <c r="C22" s="88" t="s">
        <v>118</v>
      </c>
      <c r="D22" s="153">
        <v>40.21</v>
      </c>
      <c r="E22" s="153">
        <v>40.598799999999997</v>
      </c>
      <c r="F22" s="151">
        <f>E22-D22</f>
        <v>0.38879999999999626</v>
      </c>
      <c r="G22" s="88">
        <v>4</v>
      </c>
      <c r="H22" s="88">
        <v>26</v>
      </c>
    </row>
    <row r="23" spans="1:8" ht="15.75">
      <c r="A23" s="291">
        <v>21</v>
      </c>
      <c r="B23" s="279" t="s">
        <v>128</v>
      </c>
      <c r="C23" s="88" t="s">
        <v>124</v>
      </c>
      <c r="D23" s="153">
        <v>40.729999999999997</v>
      </c>
      <c r="E23" s="153">
        <v>41.202527777777775</v>
      </c>
      <c r="F23" s="151">
        <f>E23-D23</f>
        <v>0.47252777777777766</v>
      </c>
      <c r="G23" s="88">
        <v>4</v>
      </c>
      <c r="H23" s="88">
        <v>37</v>
      </c>
    </row>
    <row r="24" spans="1:8" ht="15.75">
      <c r="A24" s="291">
        <v>22</v>
      </c>
      <c r="B24" s="279" t="s">
        <v>166</v>
      </c>
      <c r="C24" s="287" t="s">
        <v>58</v>
      </c>
      <c r="D24" s="286">
        <v>41</v>
      </c>
      <c r="E24" s="286">
        <v>41.601176470588236</v>
      </c>
      <c r="F24" s="151">
        <f>E24-D24</f>
        <v>0.60117647058823565</v>
      </c>
      <c r="G24" s="287">
        <v>4</v>
      </c>
      <c r="H24" s="292">
        <v>53</v>
      </c>
    </row>
    <row r="25" spans="1:8" ht="15.75">
      <c r="A25" s="291">
        <v>23</v>
      </c>
      <c r="B25" s="392" t="s">
        <v>25</v>
      </c>
      <c r="C25" s="88" t="s">
        <v>77</v>
      </c>
      <c r="D25" s="153">
        <v>39.450000000000003</v>
      </c>
      <c r="E25" s="153">
        <v>40.045588235294112</v>
      </c>
      <c r="F25" s="151">
        <f>E25-D25</f>
        <v>0.59558823529410887</v>
      </c>
      <c r="G25" s="88">
        <v>7</v>
      </c>
      <c r="H25" s="88">
        <v>35</v>
      </c>
    </row>
    <row r="26" spans="1:8" ht="15.75">
      <c r="A26" s="291">
        <v>24</v>
      </c>
      <c r="B26" s="150" t="s">
        <v>21</v>
      </c>
      <c r="C26" s="88" t="s">
        <v>17</v>
      </c>
      <c r="D26" s="153">
        <v>39.549999999999997</v>
      </c>
      <c r="E26" s="153">
        <v>39.958571428571425</v>
      </c>
      <c r="F26" s="151">
        <f>E26-D26</f>
        <v>0.40857142857142748</v>
      </c>
      <c r="G26" s="280">
        <v>7</v>
      </c>
      <c r="H26" s="88">
        <v>22</v>
      </c>
    </row>
    <row r="27" spans="1:8" ht="15.75">
      <c r="A27" s="291">
        <v>25</v>
      </c>
      <c r="B27" s="392" t="s">
        <v>19</v>
      </c>
      <c r="C27" s="88" t="s">
        <v>78</v>
      </c>
      <c r="D27" s="153">
        <v>39.590000000000003</v>
      </c>
      <c r="E27" s="153">
        <v>39.976999999999997</v>
      </c>
      <c r="F27" s="151">
        <f>E27-D27</f>
        <v>0.38699999999999335</v>
      </c>
      <c r="G27" s="88">
        <v>7</v>
      </c>
      <c r="H27" s="88">
        <v>61</v>
      </c>
    </row>
    <row r="28" spans="1:8" ht="15.75">
      <c r="A28" s="291">
        <v>26</v>
      </c>
      <c r="B28" s="279" t="s">
        <v>121</v>
      </c>
      <c r="C28" s="287" t="s">
        <v>58</v>
      </c>
      <c r="D28" s="286">
        <v>39.72</v>
      </c>
      <c r="E28" s="286">
        <v>40.256617647058825</v>
      </c>
      <c r="F28" s="151">
        <f>E28-D28</f>
        <v>0.53661764705882575</v>
      </c>
      <c r="G28" s="287">
        <v>7</v>
      </c>
      <c r="H28" s="292">
        <v>69</v>
      </c>
    </row>
    <row r="29" spans="1:8" ht="15.75">
      <c r="A29" s="291">
        <v>27</v>
      </c>
      <c r="B29" s="392" t="s">
        <v>19</v>
      </c>
      <c r="C29" s="88" t="s">
        <v>78</v>
      </c>
      <c r="D29" s="153">
        <v>39.72</v>
      </c>
      <c r="E29" s="153">
        <v>40.29780487804878</v>
      </c>
      <c r="F29" s="151">
        <f>E29-D29</f>
        <v>0.57780487804878078</v>
      </c>
      <c r="G29" s="88">
        <v>7</v>
      </c>
      <c r="H29" s="88">
        <v>42</v>
      </c>
    </row>
    <row r="30" spans="1:8" ht="15.75">
      <c r="A30" s="291">
        <v>28</v>
      </c>
      <c r="B30" s="279" t="s">
        <v>127</v>
      </c>
      <c r="C30" s="88" t="s">
        <v>124</v>
      </c>
      <c r="D30" s="153">
        <v>40.04</v>
      </c>
      <c r="E30" s="153">
        <v>40.608333333333327</v>
      </c>
      <c r="F30" s="151">
        <f>E30-D30</f>
        <v>0.56833333333332803</v>
      </c>
      <c r="G30" s="158">
        <v>7</v>
      </c>
      <c r="H30" s="88">
        <v>25</v>
      </c>
    </row>
    <row r="31" spans="1:8" ht="15.75">
      <c r="A31" s="291">
        <v>29</v>
      </c>
      <c r="B31" s="150" t="s">
        <v>22</v>
      </c>
      <c r="C31" s="88" t="s">
        <v>70</v>
      </c>
      <c r="D31" s="153">
        <v>39.33</v>
      </c>
      <c r="E31" s="153">
        <v>39.842413793103439</v>
      </c>
      <c r="F31" s="151">
        <f>E31-D31</f>
        <v>0.51241379310344115</v>
      </c>
      <c r="G31" s="258">
        <v>9</v>
      </c>
      <c r="H31" s="88">
        <v>59</v>
      </c>
    </row>
    <row r="32" spans="1:8" ht="15.75">
      <c r="A32" s="291">
        <v>30</v>
      </c>
      <c r="B32" s="150" t="s">
        <v>23</v>
      </c>
      <c r="C32" s="88" t="s">
        <v>70</v>
      </c>
      <c r="D32" s="153">
        <v>39.39</v>
      </c>
      <c r="E32" s="153">
        <v>39.747</v>
      </c>
      <c r="F32" s="151">
        <f>E32-D32</f>
        <v>0.35699999999999932</v>
      </c>
      <c r="G32" s="258">
        <v>9</v>
      </c>
      <c r="H32" s="88">
        <v>42</v>
      </c>
    </row>
    <row r="33" spans="1:8" ht="15.75">
      <c r="A33" s="291">
        <v>31</v>
      </c>
      <c r="B33" s="150" t="s">
        <v>21</v>
      </c>
      <c r="C33" s="88" t="s">
        <v>17</v>
      </c>
      <c r="D33" s="153">
        <v>39.85</v>
      </c>
      <c r="E33" s="153">
        <v>40.99</v>
      </c>
      <c r="F33" s="151">
        <f>E33-D33</f>
        <v>1.1400000000000006</v>
      </c>
      <c r="G33" s="280">
        <v>9</v>
      </c>
      <c r="H33" s="88">
        <v>20</v>
      </c>
    </row>
    <row r="34" spans="1:8" ht="15.75">
      <c r="A34" s="291">
        <v>32</v>
      </c>
      <c r="B34" s="293" t="s">
        <v>128</v>
      </c>
      <c r="C34" s="88" t="s">
        <v>124</v>
      </c>
      <c r="D34" s="153">
        <v>40.479999999999997</v>
      </c>
      <c r="E34" s="153">
        <v>40.956000000000003</v>
      </c>
      <c r="F34" s="151">
        <f>E34-D34</f>
        <v>0.4760000000000062</v>
      </c>
      <c r="G34" s="88">
        <v>9</v>
      </c>
      <c r="H34" s="88">
        <v>11</v>
      </c>
    </row>
    <row r="35" spans="1:8" ht="15.75">
      <c r="A35" s="291">
        <v>33</v>
      </c>
      <c r="B35" s="279" t="s">
        <v>127</v>
      </c>
      <c r="C35" s="88" t="s">
        <v>124</v>
      </c>
      <c r="D35" s="153">
        <v>40.82</v>
      </c>
      <c r="E35" s="153">
        <v>41.453214285714289</v>
      </c>
      <c r="F35" s="151">
        <f>E35-D35</f>
        <v>0.63321428571428839</v>
      </c>
      <c r="G35" s="88">
        <v>9</v>
      </c>
      <c r="H35" s="88">
        <v>29</v>
      </c>
    </row>
    <row r="36" spans="1:8" ht="15.75">
      <c r="A36" s="291">
        <v>34</v>
      </c>
      <c r="B36" s="150" t="s">
        <v>16</v>
      </c>
      <c r="C36" s="88" t="s">
        <v>17</v>
      </c>
      <c r="D36" s="153">
        <v>39.86</v>
      </c>
      <c r="E36" s="153">
        <v>40.46</v>
      </c>
      <c r="F36" s="151">
        <f>E36-D36</f>
        <v>0.60000000000000142</v>
      </c>
      <c r="G36" s="280">
        <v>10</v>
      </c>
      <c r="H36" s="88">
        <v>6</v>
      </c>
    </row>
    <row r="37" spans="1:8" ht="15.75">
      <c r="A37" s="291">
        <v>35</v>
      </c>
      <c r="B37" s="392" t="s">
        <v>20</v>
      </c>
      <c r="C37" s="88" t="s">
        <v>78</v>
      </c>
      <c r="D37" s="153">
        <v>39.99</v>
      </c>
      <c r="E37" s="153">
        <v>40.484782608695646</v>
      </c>
      <c r="F37" s="151">
        <f>E37-D37</f>
        <v>0.49478260869564394</v>
      </c>
      <c r="G37" s="158">
        <v>10</v>
      </c>
      <c r="H37" s="88">
        <v>24</v>
      </c>
    </row>
    <row r="38" spans="1:8" ht="15.75">
      <c r="A38" s="291">
        <v>36</v>
      </c>
      <c r="B38" s="150" t="s">
        <v>23</v>
      </c>
      <c r="C38" s="88" t="s">
        <v>70</v>
      </c>
      <c r="D38" s="153">
        <v>40.01</v>
      </c>
      <c r="E38" s="153">
        <v>40.415263157894728</v>
      </c>
      <c r="F38" s="151">
        <f>E38-D38</f>
        <v>0.40526315789472989</v>
      </c>
      <c r="G38" s="281">
        <v>12</v>
      </c>
      <c r="H38" s="88">
        <v>21</v>
      </c>
    </row>
    <row r="39" spans="1:8" ht="15.75">
      <c r="A39" s="291">
        <v>37</v>
      </c>
      <c r="B39" s="279" t="s">
        <v>18</v>
      </c>
      <c r="C39" s="88" t="s">
        <v>15</v>
      </c>
      <c r="D39" s="153">
        <v>40.14</v>
      </c>
      <c r="E39" s="153">
        <v>40.945135135135139</v>
      </c>
      <c r="F39" s="151">
        <f>E39-D39</f>
        <v>0.80513513513513857</v>
      </c>
      <c r="G39" s="88">
        <v>12</v>
      </c>
      <c r="H39" s="88">
        <v>38</v>
      </c>
    </row>
    <row r="40" spans="1:8" ht="15.75">
      <c r="A40" s="291">
        <v>38</v>
      </c>
      <c r="B40" s="392" t="s">
        <v>25</v>
      </c>
      <c r="C40" s="88" t="s">
        <v>77</v>
      </c>
      <c r="D40" s="153">
        <v>40.21</v>
      </c>
      <c r="E40" s="153">
        <v>40.704545454545467</v>
      </c>
      <c r="F40" s="151">
        <f>E40-D40</f>
        <v>0.49454545454546661</v>
      </c>
      <c r="G40" s="88">
        <v>12</v>
      </c>
      <c r="H40" s="88">
        <v>23</v>
      </c>
    </row>
    <row r="41" spans="1:8" ht="15.75">
      <c r="A41" s="291">
        <v>39</v>
      </c>
      <c r="B41" s="279" t="s">
        <v>59</v>
      </c>
      <c r="C41" s="287" t="s">
        <v>58</v>
      </c>
      <c r="D41" s="286">
        <v>40.619999999999997</v>
      </c>
      <c r="E41" s="286">
        <v>41.140434782608708</v>
      </c>
      <c r="F41" s="151">
        <f>E41-D41</f>
        <v>0.52043478260871012</v>
      </c>
      <c r="G41" s="287">
        <v>12</v>
      </c>
      <c r="H41" s="292">
        <v>24</v>
      </c>
    </row>
    <row r="42" spans="1:8" ht="15.75">
      <c r="A42" s="291">
        <v>40</v>
      </c>
      <c r="B42" s="279" t="s">
        <v>59</v>
      </c>
      <c r="C42" s="287" t="s">
        <v>58</v>
      </c>
      <c r="D42" s="286">
        <v>40.65</v>
      </c>
      <c r="E42" s="286">
        <v>41.254615384615377</v>
      </c>
      <c r="F42" s="151">
        <f>E42-D42</f>
        <v>0.60461538461537856</v>
      </c>
      <c r="G42" s="287">
        <v>12</v>
      </c>
      <c r="H42" s="292">
        <v>27</v>
      </c>
    </row>
    <row r="43" spans="1:8" ht="15.75">
      <c r="A43" s="291">
        <v>41</v>
      </c>
      <c r="B43" s="150" t="s">
        <v>128</v>
      </c>
      <c r="C43" s="88" t="s">
        <v>124</v>
      </c>
      <c r="D43" s="153">
        <v>40.99</v>
      </c>
      <c r="E43" s="153">
        <v>41.481666666666676</v>
      </c>
      <c r="F43" s="151">
        <f>E43-D43</f>
        <v>0.49166666666667425</v>
      </c>
      <c r="G43" s="280">
        <v>12</v>
      </c>
      <c r="H43" s="88">
        <v>13</v>
      </c>
    </row>
    <row r="44" spans="1:8" ht="15.75">
      <c r="A44" s="291">
        <v>42</v>
      </c>
      <c r="B44" s="279" t="s">
        <v>97</v>
      </c>
      <c r="C44" s="88" t="s">
        <v>15</v>
      </c>
      <c r="D44" s="153">
        <v>39.69</v>
      </c>
      <c r="E44" s="153">
        <v>40.124634146341464</v>
      </c>
      <c r="F44" s="151">
        <f>E44-D44</f>
        <v>0.43463414634146602</v>
      </c>
      <c r="G44" s="88">
        <v>13</v>
      </c>
      <c r="H44" s="88">
        <v>42</v>
      </c>
    </row>
    <row r="45" spans="1:8" ht="15.75">
      <c r="A45" s="291">
        <v>43</v>
      </c>
      <c r="B45" s="279" t="s">
        <v>136</v>
      </c>
      <c r="C45" s="88" t="s">
        <v>118</v>
      </c>
      <c r="D45" s="153">
        <v>39.82</v>
      </c>
      <c r="E45" s="153">
        <v>40.643488372093017</v>
      </c>
      <c r="F45" s="151">
        <f>E45-D45</f>
        <v>0.82348837209301706</v>
      </c>
      <c r="G45" s="88">
        <v>13</v>
      </c>
      <c r="H45" s="88">
        <v>45</v>
      </c>
    </row>
    <row r="46" spans="1:8" ht="15.75">
      <c r="A46" s="291">
        <v>44</v>
      </c>
      <c r="B46" s="279" t="s">
        <v>125</v>
      </c>
      <c r="C46" s="88" t="s">
        <v>124</v>
      </c>
      <c r="D46" s="153">
        <v>39.869999999999997</v>
      </c>
      <c r="E46" s="153">
        <v>40.469999999999992</v>
      </c>
      <c r="F46" s="151">
        <f>E46-D46</f>
        <v>0.59999999999999432</v>
      </c>
      <c r="G46" s="88">
        <v>13</v>
      </c>
      <c r="H46" s="88">
        <v>35</v>
      </c>
    </row>
    <row r="47" spans="1:8" ht="15.75">
      <c r="A47" s="291">
        <v>45</v>
      </c>
      <c r="B47" s="279" t="s">
        <v>125</v>
      </c>
      <c r="C47" s="88" t="s">
        <v>124</v>
      </c>
      <c r="D47" s="153">
        <v>39.9</v>
      </c>
      <c r="E47" s="153">
        <v>40.445749999999997</v>
      </c>
      <c r="F47" s="151">
        <f>E47-D47</f>
        <v>0.54574999999999818</v>
      </c>
      <c r="G47" s="88">
        <v>13</v>
      </c>
      <c r="H47" s="88">
        <v>41</v>
      </c>
    </row>
    <row r="48" spans="1:8" ht="15.75">
      <c r="A48" s="291">
        <v>46</v>
      </c>
      <c r="B48" s="279" t="s">
        <v>127</v>
      </c>
      <c r="C48" s="88" t="s">
        <v>124</v>
      </c>
      <c r="D48" s="153">
        <v>40.58</v>
      </c>
      <c r="E48" s="153">
        <v>41.162500000000009</v>
      </c>
      <c r="F48" s="151">
        <f>E48-D48</f>
        <v>0.58250000000001023</v>
      </c>
      <c r="G48" s="280">
        <v>13</v>
      </c>
      <c r="H48" s="88">
        <v>33</v>
      </c>
    </row>
    <row r="49" spans="1:8" ht="15.75">
      <c r="A49" s="291">
        <v>47</v>
      </c>
      <c r="B49" s="279" t="s">
        <v>18</v>
      </c>
      <c r="C49" s="88" t="s">
        <v>15</v>
      </c>
      <c r="D49" s="153">
        <v>39.159999999999997</v>
      </c>
      <c r="E49" s="153">
        <v>39.670227272727274</v>
      </c>
      <c r="F49" s="151">
        <f>E49-D49</f>
        <v>0.51022727272727764</v>
      </c>
      <c r="G49" s="88">
        <v>14</v>
      </c>
      <c r="H49" s="88">
        <v>45</v>
      </c>
    </row>
    <row r="50" spans="1:8" ht="15.75">
      <c r="A50" s="291">
        <v>48</v>
      </c>
      <c r="B50" s="150" t="s">
        <v>23</v>
      </c>
      <c r="C50" s="88" t="s">
        <v>70</v>
      </c>
      <c r="D50" s="153">
        <v>39.380000000000003</v>
      </c>
      <c r="E50" s="153">
        <v>39.945263157894729</v>
      </c>
      <c r="F50" s="151">
        <f>E50-D50</f>
        <v>0.56526315789472648</v>
      </c>
      <c r="G50" s="258">
        <v>14</v>
      </c>
      <c r="H50" s="88">
        <v>58</v>
      </c>
    </row>
    <row r="51" spans="1:8" ht="15.75">
      <c r="A51" s="291">
        <v>49</v>
      </c>
      <c r="B51" s="150" t="s">
        <v>23</v>
      </c>
      <c r="C51" s="88" t="s">
        <v>70</v>
      </c>
      <c r="D51" s="153">
        <v>39.68</v>
      </c>
      <c r="E51" s="153">
        <v>40.268947368421053</v>
      </c>
      <c r="F51" s="151">
        <f>E51-D51</f>
        <v>0.58894736842105289</v>
      </c>
      <c r="G51" s="258">
        <v>14</v>
      </c>
      <c r="H51" s="88">
        <v>20</v>
      </c>
    </row>
    <row r="52" spans="1:8" ht="15.75">
      <c r="A52" s="291">
        <v>50</v>
      </c>
      <c r="B52" s="279" t="s">
        <v>97</v>
      </c>
      <c r="C52" s="88" t="s">
        <v>15</v>
      </c>
      <c r="D52" s="153">
        <v>39.83</v>
      </c>
      <c r="E52" s="153">
        <v>40.231379310344828</v>
      </c>
      <c r="F52" s="151">
        <f>E52-D52</f>
        <v>0.40137931034482932</v>
      </c>
      <c r="G52" s="88">
        <v>14</v>
      </c>
      <c r="H52" s="88">
        <v>30</v>
      </c>
    </row>
    <row r="53" spans="1:8" ht="15.75">
      <c r="A53" s="291">
        <v>51</v>
      </c>
      <c r="B53" s="392" t="s">
        <v>20</v>
      </c>
      <c r="C53" s="88" t="s">
        <v>78</v>
      </c>
      <c r="D53" s="153">
        <v>39.840000000000003</v>
      </c>
      <c r="E53" s="153">
        <v>40.29442622950819</v>
      </c>
      <c r="F53" s="151">
        <f>E53-D53</f>
        <v>0.45442622950818645</v>
      </c>
      <c r="G53" s="88">
        <v>14</v>
      </c>
      <c r="H53" s="88">
        <v>63</v>
      </c>
    </row>
    <row r="54" spans="1:8" ht="15.75">
      <c r="A54" s="291">
        <v>52</v>
      </c>
      <c r="B54" s="279" t="s">
        <v>166</v>
      </c>
      <c r="C54" s="287" t="s">
        <v>58</v>
      </c>
      <c r="D54" s="286">
        <v>40.81</v>
      </c>
      <c r="E54" s="286">
        <v>41.636521739130437</v>
      </c>
      <c r="F54" s="151">
        <f>E54-D54</f>
        <v>0.8265217391304347</v>
      </c>
      <c r="G54" s="287">
        <v>14</v>
      </c>
      <c r="H54" s="292">
        <v>47</v>
      </c>
    </row>
    <row r="55" spans="1:8" ht="15.75">
      <c r="A55" s="291">
        <v>53</v>
      </c>
      <c r="B55" s="150" t="s">
        <v>22</v>
      </c>
      <c r="C55" s="88" t="s">
        <v>70</v>
      </c>
      <c r="D55" s="153">
        <v>39.39</v>
      </c>
      <c r="E55" s="153">
        <v>40.145416666666669</v>
      </c>
      <c r="F55" s="151">
        <f>E55-D55</f>
        <v>0.75541666666666885</v>
      </c>
      <c r="G55" s="281">
        <v>15</v>
      </c>
      <c r="H55" s="88">
        <v>25</v>
      </c>
    </row>
    <row r="56" spans="1:8" ht="15.75">
      <c r="A56" s="291">
        <v>54</v>
      </c>
      <c r="B56" s="392" t="s">
        <v>24</v>
      </c>
      <c r="C56" s="88" t="s">
        <v>77</v>
      </c>
      <c r="D56" s="153">
        <v>39.450000000000003</v>
      </c>
      <c r="E56" s="153">
        <v>39.918863636363639</v>
      </c>
      <c r="F56" s="151">
        <f>E56-D56</f>
        <v>0.46886363636363626</v>
      </c>
      <c r="G56" s="88">
        <v>15</v>
      </c>
      <c r="H56" s="88">
        <v>46</v>
      </c>
    </row>
    <row r="57" spans="1:8" ht="15.75">
      <c r="A57" s="291">
        <v>55</v>
      </c>
      <c r="B57" s="392" t="s">
        <v>19</v>
      </c>
      <c r="C57" s="88" t="s">
        <v>78</v>
      </c>
      <c r="D57" s="153">
        <v>39.590000000000003</v>
      </c>
      <c r="E57" s="153">
        <v>40.049655172413786</v>
      </c>
      <c r="F57" s="151">
        <f>E57-D57</f>
        <v>0.45965517241378251</v>
      </c>
      <c r="G57" s="88">
        <v>15</v>
      </c>
      <c r="H57" s="88">
        <v>30</v>
      </c>
    </row>
    <row r="58" spans="1:8" ht="15.75">
      <c r="A58" s="291">
        <v>56</v>
      </c>
      <c r="B58" s="279" t="s">
        <v>136</v>
      </c>
      <c r="C58" s="88" t="s">
        <v>118</v>
      </c>
      <c r="D58" s="153">
        <v>39.68</v>
      </c>
      <c r="E58" s="153">
        <v>40.469523809523814</v>
      </c>
      <c r="F58" s="151">
        <f>E58-D58</f>
        <v>0.78952380952381418</v>
      </c>
      <c r="G58" s="88">
        <v>15</v>
      </c>
      <c r="H58" s="88">
        <v>22</v>
      </c>
    </row>
    <row r="59" spans="1:8" ht="15.75">
      <c r="A59" s="291">
        <v>57</v>
      </c>
      <c r="B59" s="392" t="s">
        <v>20</v>
      </c>
      <c r="C59" s="88" t="s">
        <v>78</v>
      </c>
      <c r="D59" s="153">
        <v>39.799999999999997</v>
      </c>
      <c r="E59" s="153">
        <v>40.354807692307688</v>
      </c>
      <c r="F59" s="151">
        <f>E59-D59</f>
        <v>0.55480769230769056</v>
      </c>
      <c r="G59" s="88">
        <v>15</v>
      </c>
      <c r="H59" s="88">
        <v>53</v>
      </c>
    </row>
    <row r="60" spans="1:8" ht="15.75">
      <c r="A60" s="291">
        <v>58</v>
      </c>
      <c r="B60" s="279" t="s">
        <v>59</v>
      </c>
      <c r="C60" s="287" t="s">
        <v>58</v>
      </c>
      <c r="D60" s="286">
        <v>40.19</v>
      </c>
      <c r="E60" s="286">
        <v>40.740222222222222</v>
      </c>
      <c r="F60" s="151">
        <f>E60-D60</f>
        <v>0.55022222222222439</v>
      </c>
      <c r="G60" s="287">
        <v>15</v>
      </c>
      <c r="H60" s="292">
        <v>46</v>
      </c>
    </row>
    <row r="61" spans="1:8" ht="15.75">
      <c r="A61" s="291">
        <v>59</v>
      </c>
      <c r="B61" s="293" t="s">
        <v>23</v>
      </c>
      <c r="C61" s="88" t="s">
        <v>70</v>
      </c>
      <c r="D61" s="153">
        <v>39.51</v>
      </c>
      <c r="E61" s="153">
        <v>39.947187499999991</v>
      </c>
      <c r="F61" s="151">
        <f>E61-D61</f>
        <v>0.43718749999999318</v>
      </c>
      <c r="G61" s="258">
        <v>21</v>
      </c>
      <c r="H61" s="88">
        <v>33</v>
      </c>
    </row>
    <row r="62" spans="1:8" ht="15.75">
      <c r="A62" s="291">
        <v>60</v>
      </c>
      <c r="B62" s="392" t="s">
        <v>25</v>
      </c>
      <c r="C62" s="88" t="s">
        <v>77</v>
      </c>
      <c r="D62" s="153">
        <v>39.54</v>
      </c>
      <c r="E62" s="153">
        <v>40.193333333333328</v>
      </c>
      <c r="F62" s="151">
        <f>E62-D62</f>
        <v>0.65333333333332888</v>
      </c>
      <c r="G62" s="88">
        <v>21</v>
      </c>
      <c r="H62" s="88">
        <v>28</v>
      </c>
    </row>
    <row r="63" spans="1:8" ht="15.75">
      <c r="A63" s="291">
        <v>61</v>
      </c>
      <c r="B63" s="279" t="s">
        <v>97</v>
      </c>
      <c r="C63" s="88" t="s">
        <v>15</v>
      </c>
      <c r="D63" s="153">
        <v>39.75</v>
      </c>
      <c r="E63" s="153">
        <v>40.199215686274513</v>
      </c>
      <c r="F63" s="151">
        <f>E63-D63</f>
        <v>0.44921568627451336</v>
      </c>
      <c r="G63" s="88">
        <v>21</v>
      </c>
      <c r="H63" s="88">
        <v>53</v>
      </c>
    </row>
    <row r="64" spans="1:8" ht="15.75">
      <c r="A64" s="291">
        <v>62</v>
      </c>
      <c r="B64" s="279" t="s">
        <v>97</v>
      </c>
      <c r="C64" s="88" t="s">
        <v>15</v>
      </c>
      <c r="D64" s="153">
        <v>39.799999999999997</v>
      </c>
      <c r="E64" s="153">
        <v>40.5</v>
      </c>
      <c r="F64" s="151">
        <f>E64-D64</f>
        <v>0.70000000000000284</v>
      </c>
      <c r="G64" s="88">
        <v>21</v>
      </c>
      <c r="H64" s="88">
        <v>57</v>
      </c>
    </row>
    <row r="65" spans="1:8" ht="15.75">
      <c r="A65" s="291">
        <v>63</v>
      </c>
      <c r="B65" s="279" t="s">
        <v>125</v>
      </c>
      <c r="C65" s="88" t="s">
        <v>124</v>
      </c>
      <c r="D65" s="153">
        <v>40.03</v>
      </c>
      <c r="E65" s="153">
        <v>40.650937499999998</v>
      </c>
      <c r="F65" s="151">
        <f>E65-D65</f>
        <v>0.62093749999999659</v>
      </c>
      <c r="G65" s="88">
        <v>21</v>
      </c>
      <c r="H65" s="88">
        <v>33</v>
      </c>
    </row>
    <row r="66" spans="1:8" ht="15.75">
      <c r="A66" s="291">
        <v>64</v>
      </c>
      <c r="B66" s="279" t="s">
        <v>59</v>
      </c>
      <c r="C66" s="287" t="s">
        <v>58</v>
      </c>
      <c r="D66" s="286">
        <v>40.17</v>
      </c>
      <c r="E66" s="286">
        <v>40.699696969696951</v>
      </c>
      <c r="F66" s="151">
        <f>E66-D66</f>
        <v>0.52969696969694979</v>
      </c>
      <c r="G66" s="287">
        <v>21</v>
      </c>
      <c r="H66" s="292">
        <v>34</v>
      </c>
    </row>
    <row r="67" spans="1:8" ht="15.75">
      <c r="A67" s="291">
        <v>65</v>
      </c>
      <c r="B67" s="279" t="s">
        <v>18</v>
      </c>
      <c r="C67" s="88" t="s">
        <v>15</v>
      </c>
      <c r="D67" s="153">
        <v>39.22</v>
      </c>
      <c r="E67" s="153">
        <v>39.565576923076918</v>
      </c>
      <c r="F67" s="151">
        <f>E67-D67</f>
        <v>0.34557692307691923</v>
      </c>
      <c r="G67" s="88">
        <v>88</v>
      </c>
      <c r="H67" s="88">
        <v>53</v>
      </c>
    </row>
    <row r="68" spans="1:8" ht="15.75">
      <c r="A68" s="291">
        <v>66</v>
      </c>
      <c r="B68" s="150" t="s">
        <v>23</v>
      </c>
      <c r="C68" s="88" t="s">
        <v>70</v>
      </c>
      <c r="D68" s="153">
        <v>39.270000000000003</v>
      </c>
      <c r="E68" s="153">
        <v>40.393333333333331</v>
      </c>
      <c r="F68" s="151">
        <f>E68-D68</f>
        <v>1.1233333333333277</v>
      </c>
      <c r="G68" s="258">
        <v>88</v>
      </c>
      <c r="H68" s="88">
        <v>14</v>
      </c>
    </row>
    <row r="69" spans="1:8" ht="15.75">
      <c r="A69" s="291">
        <v>67</v>
      </c>
      <c r="B69" s="150" t="s">
        <v>22</v>
      </c>
      <c r="C69" s="88" t="s">
        <v>70</v>
      </c>
      <c r="D69" s="153">
        <v>39.33</v>
      </c>
      <c r="E69" s="153">
        <v>39.818749999999994</v>
      </c>
      <c r="F69" s="151">
        <f>E69-D69</f>
        <v>0.48874999999999602</v>
      </c>
      <c r="G69" s="258">
        <v>88</v>
      </c>
      <c r="H69" s="88">
        <v>25</v>
      </c>
    </row>
    <row r="70" spans="1:8" ht="15.75">
      <c r="A70" s="291">
        <v>68</v>
      </c>
      <c r="B70" s="279" t="s">
        <v>96</v>
      </c>
      <c r="C70" s="88" t="s">
        <v>118</v>
      </c>
      <c r="D70" s="153">
        <v>39.35</v>
      </c>
      <c r="E70" s="153">
        <v>39.833230769230767</v>
      </c>
      <c r="F70" s="151">
        <f>E70-D70</f>
        <v>0.48323076923076513</v>
      </c>
      <c r="G70" s="88">
        <v>88</v>
      </c>
      <c r="H70" s="88">
        <v>66</v>
      </c>
    </row>
    <row r="71" spans="1:8" ht="15.75">
      <c r="A71" s="291">
        <v>69</v>
      </c>
      <c r="B71" s="150" t="s">
        <v>16</v>
      </c>
      <c r="C71" s="88" t="s">
        <v>17</v>
      </c>
      <c r="D71" s="153">
        <v>39.47</v>
      </c>
      <c r="E71" s="153">
        <v>39.776800000000001</v>
      </c>
      <c r="F71" s="151">
        <f>E71-D71</f>
        <v>0.30680000000000263</v>
      </c>
      <c r="G71" s="280">
        <v>88</v>
      </c>
      <c r="H71" s="88">
        <v>26</v>
      </c>
    </row>
    <row r="72" spans="1:8" ht="15.75">
      <c r="A72" s="291">
        <v>70</v>
      </c>
      <c r="B72" s="279" t="s">
        <v>136</v>
      </c>
      <c r="C72" s="88" t="s">
        <v>118</v>
      </c>
      <c r="D72" s="153">
        <v>39.86</v>
      </c>
      <c r="E72" s="153">
        <v>40.505999999999993</v>
      </c>
      <c r="F72" s="151">
        <f>E72-D72</f>
        <v>0.64599999999999369</v>
      </c>
      <c r="G72" s="88">
        <v>88</v>
      </c>
      <c r="H72" s="88">
        <v>26</v>
      </c>
    </row>
    <row r="73" spans="1:8" ht="15.75">
      <c r="A73" s="291">
        <v>71</v>
      </c>
      <c r="B73" s="279" t="s">
        <v>121</v>
      </c>
      <c r="C73" s="88" t="s">
        <v>58</v>
      </c>
      <c r="D73" s="153">
        <v>39.92</v>
      </c>
      <c r="E73" s="153">
        <v>40.424054054054054</v>
      </c>
      <c r="F73" s="151">
        <f>E73-D73</f>
        <v>0.5040540540540519</v>
      </c>
      <c r="G73" s="280">
        <v>88</v>
      </c>
      <c r="H73" s="88">
        <v>38</v>
      </c>
    </row>
  </sheetData>
  <autoFilter ref="B2:H2">
    <sortState ref="B3:H73">
      <sortCondition ref="G2"/>
    </sortState>
  </autoFilter>
  <sortState ref="A3:A73">
    <sortCondition ref="A3:A73"/>
  </sortState>
  <phoneticPr fontId="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"/>
  <sheetViews>
    <sheetView zoomScale="90" zoomScaleNormal="90" workbookViewId="0">
      <selection activeCell="I25" sqref="I25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428" t="s">
        <v>144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4" ht="10.5" customHeight="1"/>
    <row r="3" spans="1:14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14" s="1" customFormat="1" ht="25.5" customHeight="1">
      <c r="A4" s="527" t="s">
        <v>6</v>
      </c>
      <c r="B4" s="529" t="s">
        <v>7</v>
      </c>
      <c r="C4" s="531" t="s">
        <v>2</v>
      </c>
      <c r="D4" s="533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393" t="s">
        <v>14</v>
      </c>
      <c r="K4" s="393"/>
      <c r="L4" s="393" t="s">
        <v>67</v>
      </c>
      <c r="M4" s="537"/>
    </row>
    <row r="5" spans="1:14" s="1" customFormat="1" ht="22.5" customHeight="1" thickBot="1">
      <c r="A5" s="528"/>
      <c r="B5" s="530"/>
      <c r="C5" s="532"/>
      <c r="D5" s="534"/>
      <c r="E5" s="536"/>
      <c r="F5" s="536"/>
      <c r="G5" s="532"/>
      <c r="H5" s="532"/>
      <c r="I5" s="532"/>
      <c r="J5" s="31" t="s">
        <v>1</v>
      </c>
      <c r="K5" s="31" t="s">
        <v>0</v>
      </c>
      <c r="L5" s="44" t="s">
        <v>68</v>
      </c>
      <c r="M5" s="45" t="s">
        <v>69</v>
      </c>
    </row>
    <row r="6" spans="1:14" s="1" customFormat="1" ht="24" customHeight="1" thickBot="1">
      <c r="A6" s="225"/>
      <c r="B6" s="431">
        <v>1</v>
      </c>
      <c r="C6" s="540" t="s">
        <v>16</v>
      </c>
      <c r="D6" s="176">
        <v>3</v>
      </c>
      <c r="E6" s="232">
        <v>39.36</v>
      </c>
      <c r="F6" s="233">
        <f>(40.01+39.88+40.78+39.69+39.53+39.55+39.95+40.11+40.2+40.48+40.07+40.17+39.8+40.23+39.79+39.67+39.75+39.5+39.44+39.63+39.61+39.59+40.22+39.54+39.44+39.79+39.76+39.67+39.36+39.41+39.85)/31</f>
        <v>39.821612903225798</v>
      </c>
      <c r="G6" s="171">
        <v>32</v>
      </c>
      <c r="H6" s="540">
        <f>G7-0</f>
        <v>38</v>
      </c>
      <c r="I6" s="550">
        <v>1.9409722222222221E-2</v>
      </c>
      <c r="J6" s="549">
        <f>I6</f>
        <v>1.9409722222222221E-2</v>
      </c>
      <c r="K6" s="547">
        <f>J6</f>
        <v>1.9409722222222221E-2</v>
      </c>
      <c r="L6" s="46">
        <f>F6-E6</f>
        <v>0.46161290322579873</v>
      </c>
      <c r="M6" s="177"/>
    </row>
    <row r="7" spans="1:14" s="2" customFormat="1" ht="30" customHeight="1">
      <c r="A7" s="522" t="s">
        <v>48</v>
      </c>
      <c r="B7" s="539"/>
      <c r="C7" s="538"/>
      <c r="D7" s="218" t="s">
        <v>143</v>
      </c>
      <c r="E7" s="105">
        <v>39.86</v>
      </c>
      <c r="F7" s="151">
        <f>(41.79+40.28+40.08+40.29+39.86)/5</f>
        <v>40.46</v>
      </c>
      <c r="G7" s="88">
        <v>38</v>
      </c>
      <c r="H7" s="538"/>
      <c r="I7" s="545"/>
      <c r="J7" s="543"/>
      <c r="K7" s="548"/>
      <c r="L7" s="27">
        <f>F7-E7</f>
        <v>0.60000000000000142</v>
      </c>
      <c r="M7" s="14"/>
    </row>
    <row r="8" spans="1:14" s="2" customFormat="1" ht="30" customHeight="1">
      <c r="A8" s="523"/>
      <c r="B8" s="4">
        <v>2</v>
      </c>
      <c r="C8" s="175" t="s">
        <v>21</v>
      </c>
      <c r="D8" s="227" t="s">
        <v>135</v>
      </c>
      <c r="E8" s="88">
        <v>39.85</v>
      </c>
      <c r="F8" s="151">
        <f>(54.49+40.57+40.18+39.92+40.25+39.85+41.03+40.74+40.09+40.09+40.21+40.13+40.26+40.03+39.97+40.26+40.32+40.25+40.17)/19</f>
        <v>40.99</v>
      </c>
      <c r="G8" s="88">
        <v>58</v>
      </c>
      <c r="H8" s="3">
        <f t="shared" ref="H8:H15" si="0">G8-G7</f>
        <v>20</v>
      </c>
      <c r="I8" s="20">
        <v>2.9699074074074072E-2</v>
      </c>
      <c r="J8" s="223">
        <f>I8-I6</f>
        <v>1.0289351851851852E-2</v>
      </c>
      <c r="K8" s="203">
        <f>J8</f>
        <v>1.0289351851851852E-2</v>
      </c>
      <c r="L8" s="27">
        <f t="shared" ref="L8:L15" si="1">F8-E8</f>
        <v>1.1400000000000006</v>
      </c>
      <c r="M8" s="14"/>
    </row>
    <row r="9" spans="1:14" s="2" customFormat="1" ht="30" customHeight="1">
      <c r="A9" s="523"/>
      <c r="B9" s="4">
        <v>3</v>
      </c>
      <c r="C9" s="3" t="s">
        <v>21</v>
      </c>
      <c r="D9" s="218" t="s">
        <v>147</v>
      </c>
      <c r="E9" s="105">
        <v>39.22</v>
      </c>
      <c r="F9" s="151">
        <f>(41.3+40.22+40.23+39.95+39.82+40.09+39.74+39.89+39.82+39.74+39.93+39.93+39.97+40+39.87+39.74+39.58+39.65+39.61+39.43+39.34+39.62+39.68+39.63+39.47+39.53+39.7+39.47+39.52+39.66+39.76+39.97+39.62+40.48+39.51+39.62+39.77+39.39+39.35+39.51+39.51+39.54+39.59+39.5+39.51+39.47+39.43+39.62+39.8+39.77+39.61+39.57+39.66+39.76+39.66+39.7+39.45+39.32+39.22+39.38+39.88+39.49+39.47+39.55+39.39+39.38+39.34+54.4+40.36+39.83+39.39)/71</f>
        <v>39.89661971830985</v>
      </c>
      <c r="G9" s="88">
        <v>130</v>
      </c>
      <c r="H9" s="3">
        <f t="shared" si="0"/>
        <v>72</v>
      </c>
      <c r="I9" s="20">
        <v>6.3750000000000001E-2</v>
      </c>
      <c r="J9" s="223">
        <f t="shared" ref="J9:J15" si="2">I9-I8</f>
        <v>3.4050925925925929E-2</v>
      </c>
      <c r="K9" s="203">
        <f>J9+K8</f>
        <v>4.4340277777777784E-2</v>
      </c>
      <c r="L9" s="27">
        <f t="shared" si="1"/>
        <v>0.67661971830985124</v>
      </c>
      <c r="M9" s="14"/>
    </row>
    <row r="10" spans="1:14" s="2" customFormat="1" ht="30" customHeight="1">
      <c r="A10" s="523"/>
      <c r="B10" s="4">
        <v>4</v>
      </c>
      <c r="C10" s="3" t="s">
        <v>16</v>
      </c>
      <c r="D10" s="218" t="s">
        <v>148</v>
      </c>
      <c r="E10" s="105">
        <v>39.770000000000003</v>
      </c>
      <c r="F10" s="151">
        <f>(41.44+40.23+39.97+42.12+40.21+40.15+39.98+40.19+39.92+40.35+40.32+40.01+40.2+40.25+40.29+40.34+39.91+40.12+40.21+40.18+40.09+39.96+40.19+39.77+40+40.1+39.87+39.8+39.9+39.92+40.19+40.11+39.96+40.01+40+40.03+39.92+40.05+40.01+40.17+40.07+39.99+40.06+40.12+40.1+40.51+40.26+39.8+40.32)/49</f>
        <v>40.156530612244893</v>
      </c>
      <c r="G10" s="88">
        <v>180</v>
      </c>
      <c r="H10" s="3">
        <f t="shared" si="0"/>
        <v>50</v>
      </c>
      <c r="I10" s="20">
        <v>8.7708333333333333E-2</v>
      </c>
      <c r="J10" s="223">
        <f t="shared" si="2"/>
        <v>2.3958333333333331E-2</v>
      </c>
      <c r="K10" s="203">
        <f>J10+K6</f>
        <v>4.3368055555555549E-2</v>
      </c>
      <c r="L10" s="27">
        <f t="shared" si="1"/>
        <v>0.38653061224488994</v>
      </c>
      <c r="M10" s="14"/>
    </row>
    <row r="11" spans="1:14" s="2" customFormat="1" ht="30" customHeight="1">
      <c r="A11" s="523"/>
      <c r="B11" s="4">
        <v>5</v>
      </c>
      <c r="C11" s="3" t="s">
        <v>16</v>
      </c>
      <c r="D11" s="218" t="s">
        <v>149</v>
      </c>
      <c r="E11" s="105">
        <v>39.47</v>
      </c>
      <c r="F11" s="151">
        <f>(40.99+40.14+39.79+39.61+39.5+39.8+39.69+39.87+39.69+39.49+39.78+39.59+39.86+39.68+39.71+39.81+39.67+39.74+39.88+39.47+39.75+39.82+39.83+39.6+39.66)/25</f>
        <v>39.776800000000001</v>
      </c>
      <c r="G11" s="88">
        <v>206</v>
      </c>
      <c r="H11" s="3">
        <f t="shared" si="0"/>
        <v>26</v>
      </c>
      <c r="I11" s="20">
        <v>0.10042824074074075</v>
      </c>
      <c r="J11" s="223">
        <f t="shared" si="2"/>
        <v>1.2719907407407416E-2</v>
      </c>
      <c r="K11" s="203">
        <f>J11+K10</f>
        <v>5.6087962962962964E-2</v>
      </c>
      <c r="L11" s="27">
        <f t="shared" si="1"/>
        <v>0.30680000000000263</v>
      </c>
      <c r="M11" s="14"/>
    </row>
    <row r="12" spans="1:14" s="2" customFormat="1" ht="30" customHeight="1" thickBot="1">
      <c r="A12" s="523"/>
      <c r="B12" s="539">
        <v>6</v>
      </c>
      <c r="C12" s="538" t="s">
        <v>21</v>
      </c>
      <c r="D12" s="218" t="s">
        <v>150</v>
      </c>
      <c r="E12" s="106">
        <v>39.549999999999997</v>
      </c>
      <c r="F12" s="107">
        <f>(40.87+40.21+39.85+40.15+39.94+39.66+39.72+39.64+39.88+39.75+39.66+40.7+39.57+39.94+40.17+40.64+40.11+39.71+39.75+39.55+39.66)/21</f>
        <v>39.958571428571425</v>
      </c>
      <c r="G12" s="88">
        <v>228</v>
      </c>
      <c r="H12" s="538">
        <f>G13-G11</f>
        <v>61</v>
      </c>
      <c r="I12" s="545">
        <v>0.13005787037037037</v>
      </c>
      <c r="J12" s="543">
        <f>I12-I11</f>
        <v>2.9629629629629617E-2</v>
      </c>
      <c r="K12" s="541">
        <f>J12+K9</f>
        <v>7.3969907407407401E-2</v>
      </c>
      <c r="L12" s="27">
        <f t="shared" si="1"/>
        <v>0.40857142857142748</v>
      </c>
      <c r="M12" s="14"/>
    </row>
    <row r="13" spans="1:14" s="2" customFormat="1" ht="30" customHeight="1" thickBot="1">
      <c r="A13" s="523"/>
      <c r="B13" s="539"/>
      <c r="C13" s="538"/>
      <c r="D13" s="114" t="s">
        <v>151</v>
      </c>
      <c r="E13" s="241">
        <v>39.159999999999997</v>
      </c>
      <c r="F13" s="245">
        <f>(40.27+39.45+39.38+39.59+39.63+40+39.32+39.23+39.56+39.23+39.44+39.33+39.52+39.41+39.24+39.16+39.46+39.46+39.32+39.33+39.34+39.56+39.2+39.49+39.39+39.25+39.16+39.24+39.8+39.28+39.4+39.36+39.4+39.33+39.31+39.45+39.63+39.55)/38</f>
        <v>39.433421052631594</v>
      </c>
      <c r="G13" s="243">
        <v>267</v>
      </c>
      <c r="H13" s="538"/>
      <c r="I13" s="545"/>
      <c r="J13" s="544"/>
      <c r="K13" s="542"/>
      <c r="L13" s="273">
        <f t="shared" si="1"/>
        <v>0.27342105263159766</v>
      </c>
      <c r="M13" s="14"/>
    </row>
    <row r="14" spans="1:14" s="2" customFormat="1" ht="30" customHeight="1" thickBot="1">
      <c r="A14" s="523"/>
      <c r="B14" s="4">
        <v>7</v>
      </c>
      <c r="C14" s="3" t="s">
        <v>16</v>
      </c>
      <c r="D14" s="114" t="s">
        <v>147</v>
      </c>
      <c r="E14" s="110">
        <v>39.25</v>
      </c>
      <c r="F14" s="245">
        <f>(40.73+39.79+39.31+39.96+39.7+39.99+39.42+39.43+39.25+39.46+39.49+39.56+39.75+40.28+40.24+39.48+39.35+39.51+39.58+39.73+39.64+39.61+39.62+39.46+39.39+39.33+39.56+39.42+39.69+39.53+39.87+39.51+39.48+39.74+40.1+39.81+39.74+39.52+40.39+39.5+39.46+39.54+39.32+39.45+39.54+39.98+39.45+39.58+40.35+39.43+39.28)/51</f>
        <v>39.652941176470584</v>
      </c>
      <c r="G14" s="243">
        <v>320</v>
      </c>
      <c r="H14" s="3">
        <f t="shared" si="0"/>
        <v>53</v>
      </c>
      <c r="I14" s="235">
        <v>0.15626157407407407</v>
      </c>
      <c r="J14" s="223">
        <f>I14-I12</f>
        <v>2.6203703703703701E-2</v>
      </c>
      <c r="K14" s="203">
        <f>J14+K11</f>
        <v>8.2291666666666666E-2</v>
      </c>
      <c r="L14" s="27">
        <f t="shared" si="1"/>
        <v>0.40294117647058414</v>
      </c>
      <c r="M14" s="47">
        <f>AVERAGE(L8,L9,L12,L13)</f>
        <v>0.62465304987821924</v>
      </c>
      <c r="N14" s="2" t="s">
        <v>54</v>
      </c>
    </row>
    <row r="15" spans="1:14" s="2" customFormat="1" ht="30" customHeight="1" thickBot="1">
      <c r="A15" s="523"/>
      <c r="B15" s="174" t="s">
        <v>13</v>
      </c>
      <c r="C15" s="28" t="s">
        <v>16</v>
      </c>
      <c r="D15" s="219" t="s">
        <v>106</v>
      </c>
      <c r="E15" s="240">
        <v>40</v>
      </c>
      <c r="F15" s="211">
        <f>(41.46+40.62+40.11+40.01+40.06+40.06+40.12+40.17+40.08+40.14+40.09+40.08+40.19+40.31+40.37+40.13+40.07+40.02+40.29+40.09+40.86+40.27+40)/23</f>
        <v>40.243478260869566</v>
      </c>
      <c r="G15" s="109">
        <v>344</v>
      </c>
      <c r="H15" s="28">
        <f t="shared" si="0"/>
        <v>24</v>
      </c>
      <c r="I15" s="29">
        <v>0.16699074074074075</v>
      </c>
      <c r="J15" s="224">
        <f t="shared" si="2"/>
        <v>1.0729166666666679E-2</v>
      </c>
      <c r="K15" s="231">
        <f>J15+K14</f>
        <v>9.3020833333333344E-2</v>
      </c>
      <c r="L15" s="274">
        <f t="shared" si="1"/>
        <v>0.24347826086956559</v>
      </c>
      <c r="M15" s="217">
        <f>AVERAGE(L6,L7,L10,L11,L14,L15)</f>
        <v>0.40022715880180709</v>
      </c>
      <c r="N15" s="2" t="s">
        <v>51</v>
      </c>
    </row>
    <row r="16" spans="1:14" ht="16.5" thickBot="1">
      <c r="A16" s="524"/>
      <c r="B16" s="525"/>
      <c r="C16" s="526"/>
      <c r="D16" s="526"/>
      <c r="E16" s="146">
        <f>AVERAGE(E7:E15)</f>
        <v>39.57</v>
      </c>
      <c r="F16" s="212">
        <f>AVERAGE(F7:F15)</f>
        <v>40.063151361010881</v>
      </c>
      <c r="G16" s="10"/>
      <c r="H16" s="10"/>
      <c r="I16" s="546" t="s">
        <v>152</v>
      </c>
      <c r="J16" s="546"/>
      <c r="K16" s="10"/>
      <c r="L16" s="10"/>
      <c r="M16" s="10"/>
    </row>
    <row r="18" spans="1:5" ht="15.75">
      <c r="A18" s="147"/>
      <c r="B18" s="148"/>
      <c r="C18" s="52"/>
      <c r="D18" s="147"/>
      <c r="E18" s="147"/>
    </row>
    <row r="19" spans="1:5" ht="15.75">
      <c r="A19" s="26"/>
    </row>
  </sheetData>
  <mergeCells count="28">
    <mergeCell ref="I16:J16"/>
    <mergeCell ref="K6:K7"/>
    <mergeCell ref="J6:J7"/>
    <mergeCell ref="I6:I7"/>
    <mergeCell ref="H6:H7"/>
    <mergeCell ref="B6:B7"/>
    <mergeCell ref="C6:C7"/>
    <mergeCell ref="B12:B13"/>
    <mergeCell ref="H12:H13"/>
    <mergeCell ref="K12:K13"/>
    <mergeCell ref="J12:J13"/>
    <mergeCell ref="I12:I13"/>
    <mergeCell ref="A1:M1"/>
    <mergeCell ref="A3:M3"/>
    <mergeCell ref="A7:A16"/>
    <mergeCell ref="B16:D16"/>
    <mergeCell ref="J4:K4"/>
    <mergeCell ref="A4:A5"/>
    <mergeCell ref="B4:B5"/>
    <mergeCell ref="C4:C5"/>
    <mergeCell ref="D4:D5"/>
    <mergeCell ref="E4:E5"/>
    <mergeCell ref="F4:F5"/>
    <mergeCell ref="G4:G5"/>
    <mergeCell ref="I4:I5"/>
    <mergeCell ref="H4:H5"/>
    <mergeCell ref="L4:M4"/>
    <mergeCell ref="C12:C13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F17" sqref="F17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428" t="s">
        <v>144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4" ht="10.5" customHeight="1"/>
    <row r="3" spans="1:14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14" s="1" customFormat="1" ht="25.5" customHeight="1">
      <c r="A4" s="409" t="s">
        <v>6</v>
      </c>
      <c r="B4" s="527" t="s">
        <v>7</v>
      </c>
      <c r="C4" s="529" t="s">
        <v>2</v>
      </c>
      <c r="D4" s="557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405" t="s">
        <v>14</v>
      </c>
      <c r="K4" s="556"/>
      <c r="L4" s="405" t="s">
        <v>67</v>
      </c>
      <c r="M4" s="559"/>
    </row>
    <row r="5" spans="1:14" s="1" customFormat="1" ht="22.5" customHeight="1" thickBot="1">
      <c r="A5" s="411"/>
      <c r="B5" s="528"/>
      <c r="C5" s="530"/>
      <c r="D5" s="558"/>
      <c r="E5" s="536"/>
      <c r="F5" s="536"/>
      <c r="G5" s="532"/>
      <c r="H5" s="532"/>
      <c r="I5" s="532"/>
      <c r="J5" s="172" t="s">
        <v>1</v>
      </c>
      <c r="K5" s="172" t="s">
        <v>0</v>
      </c>
      <c r="L5" s="44" t="s">
        <v>68</v>
      </c>
      <c r="M5" s="145" t="s">
        <v>69</v>
      </c>
    </row>
    <row r="6" spans="1:14" s="2" customFormat="1" ht="30" customHeight="1" thickBot="1">
      <c r="A6" s="551" t="s">
        <v>116</v>
      </c>
      <c r="B6" s="236">
        <v>1</v>
      </c>
      <c r="C6" s="213" t="s">
        <v>136</v>
      </c>
      <c r="D6" s="108">
        <v>1</v>
      </c>
      <c r="E6" s="247">
        <v>39.82</v>
      </c>
      <c r="F6" s="245">
        <f>(42.68+40.43+40.19+40.24+40.37+39.91+40.32+39.98+40.11+40.26+40.42+41.64+40.13+40.26+40.67+39.89+39.97+40.5+40.45+40.39+42.04+40.16+40.3+40.15+39.95+40.04+40.12+40.03+40.81+40.06+39.82+40.17+40.48+40.09+40.03+39.92+40.05+39.98+40+41.82+40.25+39.95)/42</f>
        <v>40.357857142857135</v>
      </c>
      <c r="G6" s="248">
        <v>42</v>
      </c>
      <c r="H6" s="108">
        <f>G6-0</f>
        <v>42</v>
      </c>
      <c r="I6" s="221">
        <v>2.0821759259259259E-2</v>
      </c>
      <c r="J6" s="221">
        <f>I6</f>
        <v>2.0821759259259259E-2</v>
      </c>
      <c r="K6" s="222">
        <f>J6</f>
        <v>2.0821759259259259E-2</v>
      </c>
      <c r="L6" s="194">
        <f t="shared" ref="L6:L13" si="0">F6-E6</f>
        <v>0.53785714285713482</v>
      </c>
      <c r="M6" s="192"/>
    </row>
    <row r="7" spans="1:14" s="2" customFormat="1" ht="30" customHeight="1" thickBot="1">
      <c r="A7" s="552"/>
      <c r="B7" s="201">
        <v>2</v>
      </c>
      <c r="C7" s="238" t="s">
        <v>96</v>
      </c>
      <c r="D7" s="112">
        <v>88</v>
      </c>
      <c r="E7" s="241">
        <v>39.35</v>
      </c>
      <c r="F7" s="245">
        <f>(40.75+40.1+40.5+39.54+39.92+40.17+39.81+40+39.76+39.95+39.48+39.71+39.62+39.87+39.59+39.45+39.94+39.35+39.91+39.5+40.03+39.52+39.78+39.91+39.64+39.84+39.64+39.75+39.86+39.58+41.08+39.86+39.66+39.59+40.02+39.58+39.65+39.63+39.49+39.86+39.57+39.61+39.67+39.84+40.3+39.56+39.67+39.47+39.75+39.77+39.46+39.53+39.59+40.1+39.89+39.6+40+39.76+39.77+39.62+40.09+40.01+40.68+40.23+40.73)/65</f>
        <v>39.833230769230767</v>
      </c>
      <c r="G7" s="243">
        <v>108</v>
      </c>
      <c r="H7" s="88">
        <f t="shared" ref="H7:H13" si="1">G7-G6</f>
        <v>66</v>
      </c>
      <c r="I7" s="223">
        <v>5.2002314814814814E-2</v>
      </c>
      <c r="J7" s="223">
        <f t="shared" ref="J7:J13" si="2">I7-I6</f>
        <v>3.1180555555555555E-2</v>
      </c>
      <c r="K7" s="203">
        <f>J7</f>
        <v>3.1180555555555555E-2</v>
      </c>
      <c r="L7" s="239">
        <f t="shared" si="0"/>
        <v>0.48323076923076513</v>
      </c>
      <c r="M7" s="192"/>
    </row>
    <row r="8" spans="1:14" s="2" customFormat="1" ht="30" customHeight="1">
      <c r="A8" s="552"/>
      <c r="B8" s="201">
        <v>3</v>
      </c>
      <c r="C8" s="215" t="s">
        <v>136</v>
      </c>
      <c r="D8" s="88">
        <v>4</v>
      </c>
      <c r="E8" s="204">
        <v>40.21</v>
      </c>
      <c r="F8" s="208">
        <f>(41.85+40.65+40.58+40.43+40.39+40.23+40.29+40.37+40.28+40.43+40.31+40.4+40.53+40.51+40.33+40.53+40.23+40.47+40.96+40.98+41.21+41.56+40.56+40.3+40.59)/25</f>
        <v>40.598799999999997</v>
      </c>
      <c r="G8" s="88">
        <v>134</v>
      </c>
      <c r="H8" s="88">
        <f t="shared" si="1"/>
        <v>26</v>
      </c>
      <c r="I8" s="223">
        <v>6.5000000000000002E-2</v>
      </c>
      <c r="J8" s="223">
        <f t="shared" si="2"/>
        <v>1.2997685185185189E-2</v>
      </c>
      <c r="K8" s="203">
        <f>J8+K6</f>
        <v>3.3819444444444444E-2</v>
      </c>
      <c r="L8" s="275">
        <f t="shared" si="0"/>
        <v>0.38879999999999626</v>
      </c>
      <c r="M8" s="192"/>
    </row>
    <row r="9" spans="1:14" s="2" customFormat="1" ht="30" customHeight="1" thickBot="1">
      <c r="A9" s="552"/>
      <c r="B9" s="201">
        <v>4</v>
      </c>
      <c r="C9" s="215" t="s">
        <v>96</v>
      </c>
      <c r="D9" s="88">
        <v>1</v>
      </c>
      <c r="E9" s="106">
        <v>39.409999999999997</v>
      </c>
      <c r="F9" s="151">
        <f>(40.9+39.76+40.02+39.66+39.6+39.5+39.55+39.75+46.59+39.58+39.63+39.49+39.58+39.84+39.67+39.92+39.75+39.7+39.62+39.56+39.8+39.66+39.48+40.05+39.73+39.92+39.84+39.78+39.61+39.94+39.78+39.71+39.48+39.93+39.62+39.89+39.88+39.65+39.57+39.41+39.74+39.65+39.89+39.78+40.27+40.06+39.77+39.53+39.74+39.46+39.75+39.88+39.91+39.62+39.74+40.41+39.94+39.76+39.66+39.94+40.04+39.88+39.69+39.48+39.94+39.59+40.08+39.73+39.89)/69</f>
        <v>39.872753623188402</v>
      </c>
      <c r="G9" s="88">
        <v>204</v>
      </c>
      <c r="H9" s="88">
        <f t="shared" si="1"/>
        <v>70</v>
      </c>
      <c r="I9" s="223">
        <v>9.8067129629629643E-2</v>
      </c>
      <c r="J9" s="223">
        <f t="shared" si="2"/>
        <v>3.3067129629629641E-2</v>
      </c>
      <c r="K9" s="203">
        <f>J9+K7</f>
        <v>6.4247685185185199E-2</v>
      </c>
      <c r="L9" s="239">
        <f t="shared" si="0"/>
        <v>0.46275362318840507</v>
      </c>
      <c r="M9" s="192"/>
    </row>
    <row r="10" spans="1:14" s="2" customFormat="1" ht="30" customHeight="1" thickBot="1">
      <c r="A10" s="552"/>
      <c r="B10" s="201">
        <v>5</v>
      </c>
      <c r="C10" s="215" t="s">
        <v>136</v>
      </c>
      <c r="D10" s="112">
        <v>15</v>
      </c>
      <c r="E10" s="246">
        <v>39.68</v>
      </c>
      <c r="F10" s="49">
        <f>(41.15+40.4+40.21+40.27+40.46+39.92+40.22+40.13+40.89+39.75+40.02+40.23+39.68+40.09+40.25+40.1+40.44+39.95+40.01+40.09+45.6)/21</f>
        <v>40.469523809523814</v>
      </c>
      <c r="G10" s="88">
        <v>226</v>
      </c>
      <c r="H10" s="88">
        <f t="shared" si="1"/>
        <v>22</v>
      </c>
      <c r="I10" s="223">
        <v>0.10910879629629629</v>
      </c>
      <c r="J10" s="223">
        <f t="shared" si="2"/>
        <v>1.1041666666666644E-2</v>
      </c>
      <c r="K10" s="203">
        <f>J10+K8</f>
        <v>4.4861111111111088E-2</v>
      </c>
      <c r="L10" s="239">
        <f t="shared" si="0"/>
        <v>0.78952380952381418</v>
      </c>
      <c r="M10" s="192"/>
    </row>
    <row r="11" spans="1:14" s="2" customFormat="1" ht="30" customHeight="1">
      <c r="A11" s="552"/>
      <c r="B11" s="201">
        <v>6</v>
      </c>
      <c r="C11" s="215" t="s">
        <v>136</v>
      </c>
      <c r="D11" s="88">
        <v>88</v>
      </c>
      <c r="E11" s="104">
        <v>39.86</v>
      </c>
      <c r="F11" s="151">
        <f>(41.28+41.03+40.09+40.61+40.22+39.86+40.1+40.29+40.13+39.9+41.2+41.04+41.22+40.75+40.43+40.68+40.47+40.65+40.24+40.69+40.41+40.43+40.52+40.25+40.16)/25</f>
        <v>40.505999999999993</v>
      </c>
      <c r="G11" s="88">
        <v>252</v>
      </c>
      <c r="H11" s="88">
        <f t="shared" si="1"/>
        <v>26</v>
      </c>
      <c r="I11" s="223">
        <v>0.12204861111111111</v>
      </c>
      <c r="J11" s="223">
        <f t="shared" si="2"/>
        <v>1.2939814814814821E-2</v>
      </c>
      <c r="K11" s="203">
        <f>J11+K10</f>
        <v>5.7800925925925908E-2</v>
      </c>
      <c r="L11" s="239">
        <f t="shared" si="0"/>
        <v>0.64599999999999369</v>
      </c>
      <c r="M11" s="192"/>
    </row>
    <row r="12" spans="1:14" s="2" customFormat="1" ht="30" customHeight="1">
      <c r="A12" s="552"/>
      <c r="B12" s="201">
        <v>7</v>
      </c>
      <c r="C12" s="215" t="s">
        <v>96</v>
      </c>
      <c r="D12" s="88">
        <v>2</v>
      </c>
      <c r="E12" s="105">
        <v>39.85</v>
      </c>
      <c r="F12" s="151">
        <f>(41.57+40.13+39.89+40.03+40+39.86+39.85+40.66+41.1+40.98+40.3+40.18+40.13+40.5+39.92+39.97+40.05+40.45+39.87+40.04+40.04+40.08+40+40.03+40.09+39.99+40.13+40.12+39.95+40.05+40.23+40.96+39.96+39.87+40.2+40.02+40.09+39.91+40.31+40.23+40+39.9+39.95+40.05+40+39.96)/46</f>
        <v>40.165217391304353</v>
      </c>
      <c r="G12" s="88">
        <v>299</v>
      </c>
      <c r="H12" s="88">
        <f t="shared" si="1"/>
        <v>47</v>
      </c>
      <c r="I12" s="223">
        <v>0.14560185185185184</v>
      </c>
      <c r="J12" s="223">
        <f t="shared" si="2"/>
        <v>2.3553240740740736E-2</v>
      </c>
      <c r="K12" s="242">
        <f>J12+K9</f>
        <v>8.7800925925925935E-2</v>
      </c>
      <c r="L12" s="275">
        <f t="shared" si="0"/>
        <v>0.31521739130435122</v>
      </c>
      <c r="M12" s="207">
        <f>AVERAGE(L6,L8,L10,L11,L13)</f>
        <v>0.63713386489479118</v>
      </c>
      <c r="N12" s="2" t="s">
        <v>153</v>
      </c>
    </row>
    <row r="13" spans="1:14" s="2" customFormat="1" ht="30" customHeight="1" thickBot="1">
      <c r="A13" s="552"/>
      <c r="B13" s="237" t="s">
        <v>13</v>
      </c>
      <c r="C13" s="216" t="s">
        <v>136</v>
      </c>
      <c r="D13" s="109">
        <v>13</v>
      </c>
      <c r="E13" s="206">
        <v>39.82</v>
      </c>
      <c r="F13" s="113">
        <f>(41.36+40.39+39.94+39.99+40.01+39.99+39.97+40.19+39.89+40.78+39.93+40.01+40.33+40.04+40.04+40.2+39.95+39.91+39.87+40.2+39.82+40.23+40.02+40.05+40.66+40.4+40.17+40.58+40.49+41.02+40.46+40.48+41.16+40.51+40.43+40.82+40.6+40.85+40.58+40.86+48.6+42.34+43.55)/43</f>
        <v>40.643488372093017</v>
      </c>
      <c r="G13" s="109">
        <v>344</v>
      </c>
      <c r="H13" s="109">
        <f t="shared" si="1"/>
        <v>45</v>
      </c>
      <c r="I13" s="224">
        <v>0.16741898148148149</v>
      </c>
      <c r="J13" s="224">
        <f t="shared" si="2"/>
        <v>2.1817129629629645E-2</v>
      </c>
      <c r="K13" s="231">
        <f>J13+K11</f>
        <v>7.9618055555555553E-2</v>
      </c>
      <c r="L13" s="195">
        <f t="shared" si="0"/>
        <v>0.82348837209301706</v>
      </c>
      <c r="M13" s="210">
        <f>AVERAGE(L7,L9,L12)</f>
        <v>0.42040059457450712</v>
      </c>
      <c r="N13" s="2" t="s">
        <v>63</v>
      </c>
    </row>
    <row r="14" spans="1:14" ht="16.5" thickBot="1">
      <c r="A14" s="524"/>
      <c r="B14" s="553"/>
      <c r="C14" s="554"/>
      <c r="D14" s="555"/>
      <c r="E14" s="146">
        <f>AVERAGE(E6:E13)</f>
        <v>39.75</v>
      </c>
      <c r="F14" s="212">
        <f>AVERAGE(F6:F13)</f>
        <v>40.305858888524689</v>
      </c>
      <c r="G14" s="10"/>
      <c r="H14" s="10"/>
      <c r="I14" s="10"/>
      <c r="J14" s="234"/>
      <c r="K14" s="10"/>
      <c r="L14" s="10"/>
      <c r="M14" s="10"/>
    </row>
    <row r="15" spans="1:14">
      <c r="J15" s="147"/>
    </row>
    <row r="16" spans="1:14">
      <c r="A16" s="147"/>
    </row>
    <row r="17" spans="1:1" ht="15.75">
      <c r="A17" s="26"/>
    </row>
  </sheetData>
  <mergeCells count="15">
    <mergeCell ref="A1:M1"/>
    <mergeCell ref="A3:M3"/>
    <mergeCell ref="H4:H5"/>
    <mergeCell ref="L4:M4"/>
    <mergeCell ref="I4:I5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"/>
  <sheetViews>
    <sheetView zoomScale="90" zoomScaleNormal="90" workbookViewId="0">
      <selection activeCell="I17" sqref="I17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428" t="s">
        <v>144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4" ht="10.5" customHeight="1"/>
    <row r="3" spans="1:14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14" s="1" customFormat="1" ht="25.5" customHeight="1">
      <c r="A4" s="409" t="s">
        <v>6</v>
      </c>
      <c r="B4" s="529" t="s">
        <v>7</v>
      </c>
      <c r="C4" s="531" t="s">
        <v>2</v>
      </c>
      <c r="D4" s="557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405" t="s">
        <v>14</v>
      </c>
      <c r="K4" s="556"/>
      <c r="L4" s="405" t="s">
        <v>67</v>
      </c>
      <c r="M4" s="559"/>
    </row>
    <row r="5" spans="1:14" s="1" customFormat="1" ht="22.5" customHeight="1" thickBot="1">
      <c r="A5" s="411"/>
      <c r="B5" s="530"/>
      <c r="C5" s="532"/>
      <c r="D5" s="558"/>
      <c r="E5" s="536"/>
      <c r="F5" s="536"/>
      <c r="G5" s="532"/>
      <c r="H5" s="532"/>
      <c r="I5" s="532"/>
      <c r="J5" s="31" t="s">
        <v>1</v>
      </c>
      <c r="K5" s="31" t="s">
        <v>0</v>
      </c>
      <c r="L5" s="44" t="s">
        <v>68</v>
      </c>
      <c r="M5" s="45" t="s">
        <v>69</v>
      </c>
    </row>
    <row r="6" spans="1:14" s="2" customFormat="1" ht="30" customHeight="1">
      <c r="A6" s="522" t="s">
        <v>70</v>
      </c>
      <c r="B6" s="173">
        <v>1</v>
      </c>
      <c r="C6" s="39" t="s">
        <v>23</v>
      </c>
      <c r="D6" s="39">
        <v>14</v>
      </c>
      <c r="E6" s="214">
        <v>39.68</v>
      </c>
      <c r="F6" s="197">
        <f>(41.15+40.1+41.4+39.87+39.98+39.93+39.71+39.68+39.78+40.65+40.09+39.97+40.94+40.04+39.97+39.99+40.37+40.79+40.7)/19</f>
        <v>40.268947368421053</v>
      </c>
      <c r="G6" s="108">
        <v>20</v>
      </c>
      <c r="H6" s="39">
        <f>G6-0</f>
        <v>20</v>
      </c>
      <c r="I6" s="40">
        <v>1.0659722222222221E-2</v>
      </c>
      <c r="J6" s="40">
        <f>I6</f>
        <v>1.0659722222222221E-2</v>
      </c>
      <c r="K6" s="205">
        <f>J6</f>
        <v>1.0659722222222221E-2</v>
      </c>
      <c r="L6" s="194">
        <f>F6-E6</f>
        <v>0.58894736842105289</v>
      </c>
      <c r="M6" s="209"/>
    </row>
    <row r="7" spans="1:14" s="2" customFormat="1" ht="30" customHeight="1" thickBot="1">
      <c r="A7" s="523"/>
      <c r="B7" s="4">
        <v>2</v>
      </c>
      <c r="C7" s="3" t="s">
        <v>23</v>
      </c>
      <c r="D7" s="3">
        <v>21</v>
      </c>
      <c r="E7" s="116">
        <v>39.51</v>
      </c>
      <c r="F7" s="107">
        <f>(42.29+39.83+39.93+39.84+39.64+39.95+39.74+40.06+39.97+40.03+39.78+40.03+39.74+39.94+39.91+39.74+40.16+39.74+40.02+40.7+39.73+39.69+40.02+39.55+40.02+39.66+39.86+39.51+39.87+39.86+39.87+39.63)/32</f>
        <v>39.947187499999991</v>
      </c>
      <c r="G7" s="88">
        <v>53</v>
      </c>
      <c r="H7" s="3">
        <f t="shared" ref="H7:H15" si="0">G7-G6</f>
        <v>33</v>
      </c>
      <c r="I7" s="20">
        <v>2.6666666666666668E-2</v>
      </c>
      <c r="J7" s="20">
        <f t="shared" ref="J7:J12" si="1">I7-I6</f>
        <v>1.6006944444444449E-2</v>
      </c>
      <c r="K7" s="202">
        <f>J7+K6</f>
        <v>2.6666666666666672E-2</v>
      </c>
      <c r="L7" s="239">
        <f t="shared" ref="L7:L15" si="2">F7-E7</f>
        <v>0.43718749999999318</v>
      </c>
      <c r="M7" s="192"/>
    </row>
    <row r="8" spans="1:14" s="2" customFormat="1" ht="30" customHeight="1" thickBot="1">
      <c r="A8" s="523"/>
      <c r="B8" s="539">
        <v>3</v>
      </c>
      <c r="C8" s="538" t="s">
        <v>22</v>
      </c>
      <c r="D8" s="24">
        <v>3</v>
      </c>
      <c r="E8" s="241">
        <v>39.229999999999997</v>
      </c>
      <c r="F8" s="245">
        <f>(40.38+39.4+39.55+39.79+39.43+40.1+40.11+39.54+39.62+39.55+39.33+39.45+39.35+39.52+39.44+39.27+39.68+39.3+39.7+40.12+39.84+39.38+39.44+39.64+39.33+39.23+39.52+39.25+39.25+41.04+39.33+39.52+39.37+39.29+39.47+39.25+39.3+39.34+39.27+39.44+39.24+39.39+40.04+39.47+39.24+39.55)/46</f>
        <v>39.544782608695648</v>
      </c>
      <c r="G8" s="243">
        <v>100</v>
      </c>
      <c r="H8" s="538">
        <f>G9-G7</f>
        <v>72</v>
      </c>
      <c r="I8" s="545">
        <v>6.1296296296296293E-2</v>
      </c>
      <c r="J8" s="545">
        <f>I8-I7</f>
        <v>3.4629629629629621E-2</v>
      </c>
      <c r="K8" s="564">
        <f>J8</f>
        <v>3.4629629629629621E-2</v>
      </c>
      <c r="L8" s="275">
        <f t="shared" si="2"/>
        <v>0.31478260869565133</v>
      </c>
      <c r="M8" s="192"/>
    </row>
    <row r="9" spans="1:14" s="2" customFormat="1" ht="30" customHeight="1">
      <c r="A9" s="523"/>
      <c r="B9" s="539"/>
      <c r="C9" s="538"/>
      <c r="D9" s="196" t="s">
        <v>145</v>
      </c>
      <c r="E9" s="104">
        <v>39.39</v>
      </c>
      <c r="F9" s="208">
        <f>(41.32+40.2+39.86+39.86+40.09+39.58+39.5+39.56+39.47+40.7+47.51+39.76+40.02+39.58+39.89+39.39+39.53+39.59+39.85+39.42+39.64+39.68+39.73+39.76)/24</f>
        <v>40.145416666666669</v>
      </c>
      <c r="G9" s="88">
        <v>125</v>
      </c>
      <c r="H9" s="538"/>
      <c r="I9" s="545"/>
      <c r="J9" s="545"/>
      <c r="K9" s="564"/>
      <c r="L9" s="239">
        <f t="shared" si="2"/>
        <v>0.75541666666666885</v>
      </c>
      <c r="M9" s="192"/>
    </row>
    <row r="10" spans="1:14" s="2" customFormat="1" ht="30" customHeight="1">
      <c r="A10" s="523"/>
      <c r="B10" s="4">
        <v>4</v>
      </c>
      <c r="C10" s="3" t="s">
        <v>23</v>
      </c>
      <c r="D10" s="196" t="s">
        <v>165</v>
      </c>
      <c r="E10" s="105">
        <v>40.01</v>
      </c>
      <c r="F10" s="151">
        <f>(40.26+41.07+40.46+40.57+40.59+40.23+40.3+40.1+40.33+40.76+40.04+40.42+40.01+40.01+40.15+40.11+40.41+40.79+41.28)/19</f>
        <v>40.415263157894728</v>
      </c>
      <c r="G10" s="88">
        <v>146</v>
      </c>
      <c r="H10" s="3">
        <f>G10-G9</f>
        <v>21</v>
      </c>
      <c r="I10" s="20">
        <v>7.2650462962962958E-2</v>
      </c>
      <c r="J10" s="20">
        <f>I10-I8</f>
        <v>1.1354166666666665E-2</v>
      </c>
      <c r="K10" s="203">
        <f>J10+K7</f>
        <v>3.8020833333333337E-2</v>
      </c>
      <c r="L10" s="239">
        <f t="shared" si="2"/>
        <v>0.40526315789472989</v>
      </c>
      <c r="M10" s="192"/>
    </row>
    <row r="11" spans="1:14" s="2" customFormat="1" ht="30" customHeight="1">
      <c r="A11" s="523"/>
      <c r="B11" s="4">
        <v>5</v>
      </c>
      <c r="C11" s="3" t="s">
        <v>23</v>
      </c>
      <c r="D11" s="3">
        <v>14</v>
      </c>
      <c r="E11" s="143">
        <v>39.380000000000003</v>
      </c>
      <c r="F11" s="151">
        <f>(41.17+40.09+40.29+40.12+39.63+40.17+39.97+39.64+39.58+39.85+39.65+40.01+39.94+39.81+40.05+40+39.63+39.76+39.48+39.67+39.57+39.62+39.52+39.53+39.67+47.84+39.95+39.87+39.68+39.61+39.76+39.66+40.68+40.15+39.55+39.66+39.46+39.38+39.45+39.65+40.03+40.42+39.61+39.64+39.61+39.76+39.91+39.54+39.61+39.57+39.55+39.76+39.39+39.66+39.64+40.62+39.79)/57</f>
        <v>39.945263157894729</v>
      </c>
      <c r="G11" s="88">
        <v>204</v>
      </c>
      <c r="H11" s="3">
        <f t="shared" si="0"/>
        <v>58</v>
      </c>
      <c r="I11" s="20">
        <v>0.10020833333333334</v>
      </c>
      <c r="J11" s="20">
        <f>I11-I10</f>
        <v>2.7557870370370385E-2</v>
      </c>
      <c r="K11" s="203">
        <f>J11+K10</f>
        <v>6.5578703703703722E-2</v>
      </c>
      <c r="L11" s="239">
        <f t="shared" si="2"/>
        <v>0.56526315789472648</v>
      </c>
      <c r="M11" s="192"/>
    </row>
    <row r="12" spans="1:14" s="2" customFormat="1" ht="30" customHeight="1" thickBot="1">
      <c r="A12" s="523"/>
      <c r="B12" s="4">
        <v>6</v>
      </c>
      <c r="C12" s="3" t="s">
        <v>22</v>
      </c>
      <c r="D12" s="3">
        <v>9</v>
      </c>
      <c r="E12" s="106">
        <v>39.33</v>
      </c>
      <c r="F12" s="151">
        <f>(41.53+40.08+40.08+39.92+39.73+39.83+39.65+39.69+39.58+39.71+39.49+39.55+39.61+39.43+39.33+39.41+39.53+39.49+39.68+39.74+39.63+39.65+40.05+39.89+39.84+39.9+39.99+40.01+39.81+40.15+39.99+41+39.95+39.78+39.82+39.77+39.91+39.77+39.78+39.73+39.83+39.89+39.74+40.1+40.11+40.02+39.97+39.79+39.97+39.96+39.75+39.91+39.8+39.82+39.83+39.54+39.66+39.69)/58</f>
        <v>39.842413793103439</v>
      </c>
      <c r="G12" s="88">
        <v>263</v>
      </c>
      <c r="H12" s="3">
        <f t="shared" si="0"/>
        <v>59</v>
      </c>
      <c r="I12" s="20">
        <v>0.12817129629629628</v>
      </c>
      <c r="J12" s="20">
        <f t="shared" si="1"/>
        <v>2.7962962962962939E-2</v>
      </c>
      <c r="K12" s="203">
        <f>J12+K8</f>
        <v>6.2592592592592561E-2</v>
      </c>
      <c r="L12" s="239">
        <f t="shared" si="2"/>
        <v>0.51241379310344115</v>
      </c>
      <c r="M12" s="192"/>
    </row>
    <row r="13" spans="1:14" s="2" customFormat="1" ht="30" customHeight="1" thickBot="1">
      <c r="A13" s="523"/>
      <c r="B13" s="539">
        <v>7</v>
      </c>
      <c r="C13" s="538" t="s">
        <v>23</v>
      </c>
      <c r="D13" s="24">
        <v>88</v>
      </c>
      <c r="E13" s="110">
        <v>39.270000000000003</v>
      </c>
      <c r="F13" s="118">
        <f>(44.37+39.59+39.87+39.83+40.04+43.05+40.01+39.51+39.77+39.59+39.82+39.27)/12</f>
        <v>40.393333333333331</v>
      </c>
      <c r="G13" s="88">
        <v>277</v>
      </c>
      <c r="H13" s="538">
        <f>G14-G12</f>
        <v>56</v>
      </c>
      <c r="I13" s="562">
        <v>0.15626157407407407</v>
      </c>
      <c r="J13" s="545">
        <f>I13-I12</f>
        <v>2.8090277777777783E-2</v>
      </c>
      <c r="K13" s="541">
        <f>J13+K11</f>
        <v>9.3668981481481506E-2</v>
      </c>
      <c r="L13" s="239">
        <f t="shared" si="2"/>
        <v>1.1233333333333277</v>
      </c>
      <c r="M13" s="192"/>
    </row>
    <row r="14" spans="1:14" s="2" customFormat="1" ht="30" customHeight="1" thickBot="1">
      <c r="A14" s="523"/>
      <c r="B14" s="539"/>
      <c r="C14" s="538"/>
      <c r="D14" s="3">
        <v>9</v>
      </c>
      <c r="E14" s="244">
        <v>39.39</v>
      </c>
      <c r="F14" s="245">
        <f>(39.78+39.92+39.7+39.7+39.54+39.73+40.2+39.61+39.76+39.79+39.62+39.66+39.83+39.58+39.48+39.61+39.58+40.41+39.94+39.83+39.59+39.52+39.51+39.64+39.39+39.69+40.04+40.03+39.67+39.54+39.89+39.84+40.09+39.87+40.19+39.79+39.52+39.49+39.77+39.54)/40</f>
        <v>39.747</v>
      </c>
      <c r="G14" s="243">
        <v>319</v>
      </c>
      <c r="H14" s="538"/>
      <c r="I14" s="562"/>
      <c r="J14" s="545"/>
      <c r="K14" s="541"/>
      <c r="L14" s="275">
        <f t="shared" si="2"/>
        <v>0.35699999999999932</v>
      </c>
      <c r="M14" s="207">
        <f>AVERAGE(L6,L7,L10,L11,L13,L14)</f>
        <v>0.57949908625730495</v>
      </c>
      <c r="N14" s="2" t="s">
        <v>23</v>
      </c>
    </row>
    <row r="15" spans="1:14" s="2" customFormat="1" ht="30" customHeight="1" thickBot="1">
      <c r="A15" s="523"/>
      <c r="B15" s="174" t="s">
        <v>13</v>
      </c>
      <c r="C15" s="28" t="s">
        <v>22</v>
      </c>
      <c r="D15" s="28">
        <v>88</v>
      </c>
      <c r="E15" s="206">
        <v>39.33</v>
      </c>
      <c r="F15" s="211">
        <f>(41.35+40+40.07+39.69+39.76+39.73+39.65+39.52+39.6+39.45+39.65+39.72+39.44+39.59+39.72+39.52+39.51+39.33+39.5+39.42+40.13+42.4+39.36+39.54)/24</f>
        <v>39.818749999999994</v>
      </c>
      <c r="G15" s="109">
        <v>344</v>
      </c>
      <c r="H15" s="28">
        <f t="shared" si="0"/>
        <v>25</v>
      </c>
      <c r="I15" s="29">
        <v>0.16744212962962965</v>
      </c>
      <c r="J15" s="29">
        <f>I15-I13</f>
        <v>1.1180555555555582E-2</v>
      </c>
      <c r="K15" s="231">
        <f>J15+K12</f>
        <v>7.3773148148148143E-2</v>
      </c>
      <c r="L15" s="195">
        <f t="shared" si="2"/>
        <v>0.48874999999999602</v>
      </c>
      <c r="M15" s="210">
        <f>AVERAGE(L8,L9,L12,L15)</f>
        <v>0.51784076711643934</v>
      </c>
      <c r="N15" s="2" t="s">
        <v>52</v>
      </c>
    </row>
    <row r="16" spans="1:14" ht="16.5" thickBot="1">
      <c r="A16" s="524"/>
      <c r="B16" s="560"/>
      <c r="C16" s="554"/>
      <c r="D16" s="555"/>
      <c r="E16" s="146">
        <f>AVERAGE(E6:E15)</f>
        <v>39.451999999999991</v>
      </c>
      <c r="F16" s="212">
        <f>AVERAGE(F6:F15)</f>
        <v>40.006835758600957</v>
      </c>
      <c r="G16" s="10"/>
      <c r="H16" s="10"/>
      <c r="I16" s="563" t="s">
        <v>152</v>
      </c>
      <c r="J16" s="563"/>
      <c r="K16" s="10"/>
      <c r="L16" s="10"/>
      <c r="M16" s="10"/>
    </row>
    <row r="18" spans="1:9">
      <c r="A18" s="561" t="s">
        <v>146</v>
      </c>
      <c r="B18" s="561"/>
      <c r="C18" s="561"/>
      <c r="D18" s="561"/>
      <c r="E18" s="561"/>
      <c r="F18" s="561"/>
      <c r="G18" s="200"/>
      <c r="H18" s="200"/>
      <c r="I18" s="200"/>
    </row>
    <row r="19" spans="1:9" ht="15.75">
      <c r="A19" s="26"/>
    </row>
  </sheetData>
  <mergeCells count="29">
    <mergeCell ref="A18:F18"/>
    <mergeCell ref="H13:H14"/>
    <mergeCell ref="H8:H9"/>
    <mergeCell ref="K13:K14"/>
    <mergeCell ref="J13:J14"/>
    <mergeCell ref="I13:I14"/>
    <mergeCell ref="C13:C14"/>
    <mergeCell ref="B13:B14"/>
    <mergeCell ref="I16:J16"/>
    <mergeCell ref="C8:C9"/>
    <mergeCell ref="K8:K9"/>
    <mergeCell ref="J8:J9"/>
    <mergeCell ref="I8:I9"/>
    <mergeCell ref="A1:M1"/>
    <mergeCell ref="A6:A16"/>
    <mergeCell ref="B16:D16"/>
    <mergeCell ref="I4:I5"/>
    <mergeCell ref="L4:M4"/>
    <mergeCell ref="A4:A5"/>
    <mergeCell ref="B4:B5"/>
    <mergeCell ref="C4:C5"/>
    <mergeCell ref="D4:D5"/>
    <mergeCell ref="J4:K4"/>
    <mergeCell ref="E4:E5"/>
    <mergeCell ref="F4:F5"/>
    <mergeCell ref="G4:G5"/>
    <mergeCell ref="H4:H5"/>
    <mergeCell ref="A3:M3"/>
    <mergeCell ref="B8:B9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F19" sqref="F1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428" t="s">
        <v>144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4" ht="10.5" customHeight="1"/>
    <row r="3" spans="1:14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14" s="1" customFormat="1" ht="25.5" customHeight="1">
      <c r="A4" s="409" t="s">
        <v>6</v>
      </c>
      <c r="B4" s="529" t="s">
        <v>7</v>
      </c>
      <c r="C4" s="531" t="s">
        <v>2</v>
      </c>
      <c r="D4" s="557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405" t="s">
        <v>14</v>
      </c>
      <c r="K4" s="556"/>
      <c r="L4" s="405" t="s">
        <v>67</v>
      </c>
      <c r="M4" s="559"/>
    </row>
    <row r="5" spans="1:14" s="1" customFormat="1" ht="22.5" customHeight="1" thickBot="1">
      <c r="A5" s="411"/>
      <c r="B5" s="530"/>
      <c r="C5" s="532"/>
      <c r="D5" s="558"/>
      <c r="E5" s="536"/>
      <c r="F5" s="536"/>
      <c r="G5" s="532"/>
      <c r="H5" s="532"/>
      <c r="I5" s="532"/>
      <c r="J5" s="31" t="s">
        <v>1</v>
      </c>
      <c r="K5" s="31" t="s">
        <v>0</v>
      </c>
      <c r="L5" s="44" t="s">
        <v>68</v>
      </c>
      <c r="M5" s="45" t="s">
        <v>69</v>
      </c>
    </row>
    <row r="6" spans="1:14" s="2" customFormat="1" ht="30" customHeight="1">
      <c r="A6" s="522" t="s">
        <v>15</v>
      </c>
      <c r="B6" s="170">
        <v>1</v>
      </c>
      <c r="C6" s="108" t="s">
        <v>18</v>
      </c>
      <c r="D6" s="108">
        <v>12</v>
      </c>
      <c r="E6" s="214">
        <v>40.14</v>
      </c>
      <c r="F6" s="197">
        <f>(40.5+40.4+40.41+40.15+40.29+40.17+40.42+40.28+40.68+40.14+40.24+40.34+40.17+41.33+41.14+40.23+40.34+40.67+41.19+41.8+40.34+41.15+41.25+41.1+40.89+41.52+41.79+41.71+41.14+41.15+40.68+40.67+41.49+41.81+42.38+42.55+42.46)/37</f>
        <v>40.945135135135139</v>
      </c>
      <c r="G6" s="108">
        <v>38</v>
      </c>
      <c r="H6" s="108">
        <f>G6-0</f>
        <v>38</v>
      </c>
      <c r="I6" s="221">
        <v>1.9201388888888889E-2</v>
      </c>
      <c r="J6" s="221">
        <f>I6</f>
        <v>1.9201388888888889E-2</v>
      </c>
      <c r="K6" s="222">
        <f>J6</f>
        <v>1.9201388888888889E-2</v>
      </c>
      <c r="L6" s="194">
        <f>F6-E6</f>
        <v>0.80513513513513857</v>
      </c>
      <c r="M6" s="209"/>
    </row>
    <row r="7" spans="1:14" s="2" customFormat="1" ht="30" customHeight="1">
      <c r="A7" s="523"/>
      <c r="B7" s="168">
        <v>2</v>
      </c>
      <c r="C7" s="152" t="s">
        <v>97</v>
      </c>
      <c r="D7" s="88">
        <v>14</v>
      </c>
      <c r="E7" s="143">
        <v>39.83</v>
      </c>
      <c r="F7" s="151">
        <f>(41.37+40.23+40.18+40.17+40.22+40.07+40.44+40.65+39.99+40.01+40.44+40.02+40.24+40.17+40.01+39.94+40.01+40.2+39.98+39.83+40.68+39.99+39.94+39.86+40.08+40.19+40.01+40.24+41.55)/29</f>
        <v>40.231379310344828</v>
      </c>
      <c r="G7" s="88">
        <v>68</v>
      </c>
      <c r="H7" s="88">
        <f t="shared" ref="H7:H13" si="0">G7-G6</f>
        <v>30</v>
      </c>
      <c r="I7" s="223">
        <v>3.3958333333333333E-2</v>
      </c>
      <c r="J7" s="223">
        <f t="shared" ref="J7:J13" si="1">I7-I6</f>
        <v>1.4756944444444444E-2</v>
      </c>
      <c r="K7" s="203">
        <f>J7</f>
        <v>1.4756944444444444E-2</v>
      </c>
      <c r="L7" s="275">
        <f t="shared" ref="L7:L13" si="2">F7-E7</f>
        <v>0.40137931034482932</v>
      </c>
      <c r="M7" s="192"/>
    </row>
    <row r="8" spans="1:14" s="2" customFormat="1" ht="30" customHeight="1" thickBot="1">
      <c r="A8" s="523"/>
      <c r="B8" s="168">
        <v>3</v>
      </c>
      <c r="C8" s="88" t="s">
        <v>97</v>
      </c>
      <c r="D8" s="88">
        <v>21</v>
      </c>
      <c r="E8" s="143">
        <v>39.799999999999997</v>
      </c>
      <c r="F8" s="107">
        <f>(41.44+40.4+40.22+40.02+41.15+39.97+40.31+40.16+40.03+40.33+40.07+40.02+40.28+41.25+40.22+40.03+40.22+39.97+39.91+39.94+40.25+40.19+39.87+39.93+39.82+39.8+44.85+40.38+39.97+40.08+40.12+40.5+39.89+40.34+40.22+39.94+40.35+39.85+40.43+40.23+39.92+40.65+47.65+39.99+40.96+40.22+40.56+40.67+41.59+40.2+40.7+40.36+40.1+40.63+40.64+40.21)/56</f>
        <v>40.5</v>
      </c>
      <c r="G8" s="88">
        <v>125</v>
      </c>
      <c r="H8" s="88">
        <f t="shared" si="0"/>
        <v>57</v>
      </c>
      <c r="I8" s="223">
        <v>6.1562499999999999E-2</v>
      </c>
      <c r="J8" s="223">
        <f t="shared" si="1"/>
        <v>2.7604166666666666E-2</v>
      </c>
      <c r="K8" s="203">
        <f>J8+K7</f>
        <v>4.2361111111111113E-2</v>
      </c>
      <c r="L8" s="239">
        <f t="shared" si="2"/>
        <v>0.70000000000000284</v>
      </c>
      <c r="M8" s="192"/>
    </row>
    <row r="9" spans="1:14" s="2" customFormat="1" ht="30" customHeight="1" thickBot="1">
      <c r="A9" s="523"/>
      <c r="B9" s="168">
        <v>4</v>
      </c>
      <c r="C9" s="88" t="s">
        <v>18</v>
      </c>
      <c r="D9" s="88">
        <v>88</v>
      </c>
      <c r="E9" s="117">
        <v>39.22</v>
      </c>
      <c r="F9" s="245">
        <f>(41.46+40.01+39.94+39.9+39.61+39.5+39.71+39.47+39.5+39.81+39.59+39.44+39.37+39.31+39.36+39.51+39.49+39.49+39.57+39.32+39.42+39.53+39.28+39.59+39.5+39.38+39.27+39.22+39.37+39.58+39.4+39.79+39.63+39.6+39.43+39.55+39.46+39.35+39.27+39.36+39.55+39.61+39.64+39.39+39.4+39.43+39.53+39.62+39.5+39.66+39.64+40.1)/52</f>
        <v>39.565576923076918</v>
      </c>
      <c r="G9" s="243">
        <v>178</v>
      </c>
      <c r="H9" s="88">
        <f t="shared" si="0"/>
        <v>53</v>
      </c>
      <c r="I9" s="223">
        <v>8.6585648148148162E-2</v>
      </c>
      <c r="J9" s="223">
        <f t="shared" si="1"/>
        <v>2.5023148148148162E-2</v>
      </c>
      <c r="K9" s="203">
        <f>J9+K6</f>
        <v>4.4224537037037048E-2</v>
      </c>
      <c r="L9" s="239">
        <f t="shared" si="2"/>
        <v>0.34557692307691923</v>
      </c>
      <c r="M9" s="192"/>
    </row>
    <row r="10" spans="1:14" s="2" customFormat="1" ht="30" customHeight="1" thickBot="1">
      <c r="A10" s="523"/>
      <c r="B10" s="168">
        <v>5</v>
      </c>
      <c r="C10" s="88" t="s">
        <v>97</v>
      </c>
      <c r="D10" s="112">
        <v>13</v>
      </c>
      <c r="E10" s="110">
        <v>39.69</v>
      </c>
      <c r="F10" s="245">
        <f>(42.68+40.6+40.95+39.85+39.86+40.01+40.1+39.84+39.77+40.11+39.69+40.14+39.98+40.02+39.77+40.04+39.99+40.03+39.94+39.92+40.62+40.4+40.19+40.22+40.16+39.98+40.32+39.94+39.83+39.95+40.01+39.91+39.8+39.94+40.21+39.92+40.03+39.99+39.89+39.87+40.64)/41</f>
        <v>40.124634146341464</v>
      </c>
      <c r="G10" s="243">
        <v>220</v>
      </c>
      <c r="H10" s="88">
        <f t="shared" si="0"/>
        <v>42</v>
      </c>
      <c r="I10" s="223">
        <v>0.10684027777777778</v>
      </c>
      <c r="J10" s="223">
        <f t="shared" si="1"/>
        <v>2.0254629629629622E-2</v>
      </c>
      <c r="K10" s="203">
        <f>K8+J10</f>
        <v>6.2615740740740736E-2</v>
      </c>
      <c r="L10" s="239">
        <f t="shared" si="2"/>
        <v>0.43463414634146602</v>
      </c>
      <c r="M10" s="192"/>
    </row>
    <row r="11" spans="1:14" s="2" customFormat="1" ht="30" customHeight="1" thickBot="1">
      <c r="A11" s="523"/>
      <c r="B11" s="168">
        <v>6</v>
      </c>
      <c r="C11" s="88" t="s">
        <v>18</v>
      </c>
      <c r="D11" s="112">
        <v>14</v>
      </c>
      <c r="E11" s="241">
        <v>39.159999999999997</v>
      </c>
      <c r="F11" s="193">
        <f>(40.45+39.56+39.83+39.49+39.65+39.83+39.92+39.8+45.3+39.67+39.54+39.83+39.43+39.42+39.38+39.53+41.05+40.39+39.45+39.32+39.34+39.22+39.17+39.39+39.33+39.25+39.56+39.16+39.44+39.28+39.38+39.32+39.3+39.22+39.21+39.29+39.34+39.33+39.45+39.42+39.37+39.85+39.65+39.38)/44</f>
        <v>39.670227272727274</v>
      </c>
      <c r="G11" s="88">
        <v>265</v>
      </c>
      <c r="H11" s="88">
        <f t="shared" si="0"/>
        <v>45</v>
      </c>
      <c r="I11" s="223">
        <v>0.12825231481481483</v>
      </c>
      <c r="J11" s="223">
        <f t="shared" si="1"/>
        <v>2.1412037037037049E-2</v>
      </c>
      <c r="K11" s="203">
        <f>K9+J11</f>
        <v>6.5636574074074097E-2</v>
      </c>
      <c r="L11" s="239">
        <f t="shared" si="2"/>
        <v>0.51022727272727764</v>
      </c>
      <c r="M11" s="192"/>
    </row>
    <row r="12" spans="1:14" s="2" customFormat="1" ht="30" customHeight="1">
      <c r="A12" s="523"/>
      <c r="B12" s="168">
        <v>7</v>
      </c>
      <c r="C12" s="88" t="s">
        <v>97</v>
      </c>
      <c r="D12" s="88">
        <v>21</v>
      </c>
      <c r="E12" s="204">
        <v>39.75</v>
      </c>
      <c r="F12" s="151">
        <f>(41.65+40.17+40.08+40.29+39.88+40.31+39.93+40.1+40.01+40.17+39.97+40.04+40.55+40.02+40.36+40.23+39.98+40.14+40.14+40.15+39.98+39.93+39.75+40.04+39.96+39.81+39.9+39.99+40.08+40.2+40.03+39.94+39.91+40.21+40.73+40.47+40.1+40.21+40.04+40.21+40.08+40.14+40.23+40.21+40.12+40.37+40.2+40.13+40.44+42.1+40.48)/51</f>
        <v>40.199215686274513</v>
      </c>
      <c r="G12" s="88">
        <v>318</v>
      </c>
      <c r="H12" s="88">
        <f t="shared" si="0"/>
        <v>53</v>
      </c>
      <c r="I12" s="223">
        <v>0.15589120370370371</v>
      </c>
      <c r="J12" s="223">
        <f t="shared" si="1"/>
        <v>2.763888888888888E-2</v>
      </c>
      <c r="K12" s="242">
        <f>K10+J12</f>
        <v>9.0254629629629615E-2</v>
      </c>
      <c r="L12" s="239">
        <f t="shared" si="2"/>
        <v>0.44921568627451336</v>
      </c>
      <c r="M12" s="207">
        <f>AVERAGE(L6,L9,L11,L13)</f>
        <v>0.47752649940149894</v>
      </c>
      <c r="N12" s="2" t="s">
        <v>111</v>
      </c>
    </row>
    <row r="13" spans="1:14" s="2" customFormat="1" ht="30" customHeight="1" thickBot="1">
      <c r="A13" s="523"/>
      <c r="B13" s="169" t="s">
        <v>13</v>
      </c>
      <c r="C13" s="109" t="s">
        <v>18</v>
      </c>
      <c r="D13" s="109">
        <v>2</v>
      </c>
      <c r="E13" s="206">
        <v>39.72</v>
      </c>
      <c r="F13" s="113">
        <f>(41.33+40.4+40.19+40.08+39.76+39.97+40+39.8+39.94+39.91+39.77+39.81+39.82+39.86+39.89+39.72+39.77+39.95+39.85+39.8+39.77+39.8+40.05+40.02)/24</f>
        <v>39.969166666666659</v>
      </c>
      <c r="G13" s="109">
        <v>343</v>
      </c>
      <c r="H13" s="109">
        <f t="shared" si="0"/>
        <v>25</v>
      </c>
      <c r="I13" s="224">
        <v>0.16700231481481484</v>
      </c>
      <c r="J13" s="224">
        <f t="shared" si="1"/>
        <v>1.1111111111111127E-2</v>
      </c>
      <c r="K13" s="231">
        <f>K11+J13</f>
        <v>7.6747685185185224E-2</v>
      </c>
      <c r="L13" s="276">
        <f t="shared" si="2"/>
        <v>0.24916666666666032</v>
      </c>
      <c r="M13" s="210">
        <f>AVERAGE(L7,L8,L10,L12)</f>
        <v>0.49630728574020289</v>
      </c>
      <c r="N13" s="2" t="s">
        <v>63</v>
      </c>
    </row>
    <row r="14" spans="1:14" ht="16.5" thickBot="1">
      <c r="A14" s="524"/>
      <c r="B14" s="565"/>
      <c r="C14" s="566"/>
      <c r="D14" s="567"/>
      <c r="E14" s="249">
        <f>AVERAGE(E6:E13)</f>
        <v>39.663750000000007</v>
      </c>
      <c r="F14" s="250">
        <f>AVERAGE(F6:F13)</f>
        <v>40.150666892570847</v>
      </c>
      <c r="G14" s="234"/>
      <c r="H14" s="234"/>
      <c r="I14" s="234"/>
      <c r="J14" s="234"/>
      <c r="K14" s="234"/>
      <c r="L14" s="234"/>
      <c r="M14" s="10"/>
    </row>
    <row r="16" spans="1:14">
      <c r="A16" s="147"/>
    </row>
    <row r="17" spans="1:1" ht="15.75">
      <c r="A17" s="26"/>
    </row>
  </sheetData>
  <mergeCells count="15">
    <mergeCell ref="A1:M1"/>
    <mergeCell ref="A3:M3"/>
    <mergeCell ref="H4:H5"/>
    <mergeCell ref="L4:M4"/>
    <mergeCell ref="I4:I5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L17" sqref="L17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428" t="s">
        <v>144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4" ht="10.5" customHeight="1"/>
    <row r="3" spans="1:14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14" s="1" customFormat="1" ht="25.5" customHeight="1">
      <c r="A4" s="409" t="s">
        <v>6</v>
      </c>
      <c r="B4" s="529" t="s">
        <v>7</v>
      </c>
      <c r="C4" s="531" t="s">
        <v>2</v>
      </c>
      <c r="D4" s="557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405" t="s">
        <v>14</v>
      </c>
      <c r="K4" s="556"/>
      <c r="L4" s="405" t="s">
        <v>67</v>
      </c>
      <c r="M4" s="559"/>
    </row>
    <row r="5" spans="1:14" s="1" customFormat="1" ht="22.5" customHeight="1" thickBot="1">
      <c r="A5" s="411"/>
      <c r="B5" s="530"/>
      <c r="C5" s="532"/>
      <c r="D5" s="558"/>
      <c r="E5" s="536"/>
      <c r="F5" s="536"/>
      <c r="G5" s="532"/>
      <c r="H5" s="532"/>
      <c r="I5" s="532"/>
      <c r="J5" s="31" t="s">
        <v>1</v>
      </c>
      <c r="K5" s="31" t="s">
        <v>0</v>
      </c>
      <c r="L5" s="44" t="s">
        <v>68</v>
      </c>
      <c r="M5" s="45" t="s">
        <v>69</v>
      </c>
    </row>
    <row r="6" spans="1:14" s="2" customFormat="1" ht="30" customHeight="1">
      <c r="A6" s="568" t="s">
        <v>154</v>
      </c>
      <c r="B6" s="173">
        <v>1</v>
      </c>
      <c r="C6" s="39" t="s">
        <v>19</v>
      </c>
      <c r="D6" s="108">
        <v>7</v>
      </c>
      <c r="E6" s="214">
        <v>39.72</v>
      </c>
      <c r="F6" s="197">
        <f>(41.39+40.38+40.3+40.17+40.14+40.33+39.81+40.07+40.51+40.2+40.15+39.88+40.24+40.19+40.38+40.05+39.86+39.99+39.87+43.18+41.44+39.95+40+40.62+40.56+40.63+39.92+39.94+39.85+39.72+39.92+40.12+39.87+40.12+40.03+40.65+40.1+41.24+39.94+40.28+40.22)/41</f>
        <v>40.29780487804878</v>
      </c>
      <c r="G6" s="108">
        <v>42</v>
      </c>
      <c r="H6" s="108">
        <f>G6-0</f>
        <v>42</v>
      </c>
      <c r="I6" s="221">
        <v>2.1064814814814814E-2</v>
      </c>
      <c r="J6" s="221">
        <f>I6</f>
        <v>2.1064814814814814E-2</v>
      </c>
      <c r="K6" s="222">
        <f>J6</f>
        <v>2.1064814814814814E-2</v>
      </c>
      <c r="L6" s="46">
        <f>F6-E6</f>
        <v>0.57780487804878078</v>
      </c>
      <c r="M6" s="252"/>
    </row>
    <row r="7" spans="1:14" s="2" customFormat="1" ht="30" customHeight="1">
      <c r="A7" s="569"/>
      <c r="B7" s="4">
        <v>2</v>
      </c>
      <c r="C7" s="175" t="s">
        <v>20</v>
      </c>
      <c r="D7" s="88">
        <v>10</v>
      </c>
      <c r="E7" s="88">
        <v>39.99</v>
      </c>
      <c r="F7" s="151">
        <f>(42+40.87+40.57+40.23+39.99+40.12+40.21+40.21+41.18+40.53+40.29+40.12+40.99+40.42+40.4+40.52+40.35+40.72+40.46+40.27+40.3+40.19+40.21)/23</f>
        <v>40.484782608695646</v>
      </c>
      <c r="G7" s="88">
        <v>66</v>
      </c>
      <c r="H7" s="88">
        <f t="shared" ref="H7:H13" si="0">G7-G6</f>
        <v>24</v>
      </c>
      <c r="I7" s="223">
        <v>3.3009259259259259E-2</v>
      </c>
      <c r="J7" s="223">
        <f t="shared" ref="J7:J13" si="1">I7-I6</f>
        <v>1.1944444444444445E-2</v>
      </c>
      <c r="K7" s="203">
        <f>J7</f>
        <v>1.1944444444444445E-2</v>
      </c>
      <c r="L7" s="27">
        <f t="shared" ref="L7:L13" si="2">F7-E7</f>
        <v>0.49478260869564394</v>
      </c>
      <c r="M7" s="37"/>
    </row>
    <row r="8" spans="1:14" s="2" customFormat="1" ht="30" customHeight="1" thickBot="1">
      <c r="A8" s="569"/>
      <c r="B8" s="4">
        <v>3</v>
      </c>
      <c r="C8" s="3" t="s">
        <v>19</v>
      </c>
      <c r="D8" s="88">
        <v>7</v>
      </c>
      <c r="E8" s="144">
        <v>39.590000000000003</v>
      </c>
      <c r="F8" s="151">
        <f>(41.32+40.31+40.09+39.98+39.72+39.94+39.86+39.79+39.97+39.99+39.79+39.86+40.02+40.73+39.74+41.2+39.91+40.08+39.95+39.75+40.01+39.99+39.61+39.72+39.74+39.82+39.79+39.86+39.7+39.91+39.73+39.87+39.84+39.93+40.66+40.1+40.32+40.03+40.12+39.79+39.83+39.86+39.95+39.83+39.87+39.95+39.72+39.74+39.65+40.02+39.74+39.83+39.93+39.59+39.88+39.64+40.26+40.96+39.95+39.88)/60</f>
        <v>39.976999999999997</v>
      </c>
      <c r="G8" s="88">
        <v>127</v>
      </c>
      <c r="H8" s="88">
        <f t="shared" si="0"/>
        <v>61</v>
      </c>
      <c r="I8" s="223">
        <v>6.1979166666666669E-2</v>
      </c>
      <c r="J8" s="223">
        <f t="shared" si="1"/>
        <v>2.8969907407407409E-2</v>
      </c>
      <c r="K8" s="203">
        <f>J8+J6</f>
        <v>5.0034722222222223E-2</v>
      </c>
      <c r="L8" s="273">
        <f t="shared" si="2"/>
        <v>0.38699999999999335</v>
      </c>
      <c r="M8" s="37"/>
    </row>
    <row r="9" spans="1:14" s="2" customFormat="1" ht="30" customHeight="1" thickBot="1">
      <c r="A9" s="569"/>
      <c r="B9" s="4">
        <v>4</v>
      </c>
      <c r="C9" s="3" t="s">
        <v>20</v>
      </c>
      <c r="D9" s="112">
        <v>15</v>
      </c>
      <c r="E9" s="110">
        <v>39.799999999999997</v>
      </c>
      <c r="F9" s="118">
        <f>(41.2+40.43+40.57+40.42+39.97+39.86+40.01+39.88+40.72+39.93+39.94+40.32+39.8+40.05+40.41+40.02+40.08+40.05+40.13+40.41+40.69+40.64+39.98+40.15+40.37+40.4+39.87+40.48+40.46+40.16+40.31+40.1+40.32+40.7+40.65+40.22+40.4+40.72+40.56+40.47+40.84+40.06+40.24+40.28+40.1+40.44+40.13+40.19+40.69+40.35+41.74+41.54)/52</f>
        <v>40.354807692307688</v>
      </c>
      <c r="G9" s="88">
        <v>180</v>
      </c>
      <c r="H9" s="88">
        <f t="shared" si="0"/>
        <v>53</v>
      </c>
      <c r="I9" s="223">
        <v>8.7500000000000008E-2</v>
      </c>
      <c r="J9" s="223">
        <f t="shared" si="1"/>
        <v>2.552083333333334E-2</v>
      </c>
      <c r="K9" s="203">
        <f>J9+J7</f>
        <v>3.7465277777777785E-2</v>
      </c>
      <c r="L9" s="27">
        <f t="shared" si="2"/>
        <v>0.55480769230769056</v>
      </c>
      <c r="M9" s="37"/>
    </row>
    <row r="10" spans="1:14" s="2" customFormat="1" ht="30" customHeight="1" thickBot="1">
      <c r="A10" s="569"/>
      <c r="B10" s="4">
        <v>5</v>
      </c>
      <c r="C10" s="3" t="s">
        <v>19</v>
      </c>
      <c r="D10" s="112">
        <v>3</v>
      </c>
      <c r="E10" s="251">
        <v>39.35</v>
      </c>
      <c r="F10" s="245">
        <f>(42.15+40.36+39.93+39.87+39.76+39.62+39.8+39.56+39.68+39.65+39.68+39.67+39.98+40.46+40.04+44.75+39.68+39.78+40.23+39.79+39.46+39.49+39.44+39.66+39.55+39.6+39.75+39.82+39.61+39.51+39.43+39.35+39.55+39.56+39.69+39.58+40.01)/37</f>
        <v>39.932432432432421</v>
      </c>
      <c r="G10" s="243">
        <v>218</v>
      </c>
      <c r="H10" s="88">
        <f t="shared" si="0"/>
        <v>38</v>
      </c>
      <c r="I10" s="223">
        <v>0.10582175925925925</v>
      </c>
      <c r="J10" s="223">
        <f t="shared" si="1"/>
        <v>1.8321759259259246E-2</v>
      </c>
      <c r="K10" s="203">
        <f>J10+K8</f>
        <v>6.8356481481481463E-2</v>
      </c>
      <c r="L10" s="27">
        <f t="shared" si="2"/>
        <v>0.58243243243241949</v>
      </c>
      <c r="M10" s="37"/>
    </row>
    <row r="11" spans="1:14" s="2" customFormat="1" ht="30" customHeight="1">
      <c r="A11" s="569"/>
      <c r="B11" s="4">
        <v>6</v>
      </c>
      <c r="C11" s="3" t="s">
        <v>20</v>
      </c>
      <c r="D11" s="88">
        <v>4</v>
      </c>
      <c r="E11" s="104">
        <v>40.020000000000003</v>
      </c>
      <c r="F11" s="208">
        <f>(42.16+41.03+40.9+40.46+40.62+40.25+40.41+40.32+41.95+39.89+41.63+40.59+40.67+41.01+40.2+40.19+40.62+40.49+40.23+40.58+40.11+40.32+40.4+40.28+40.02+40.43+40.38+40.21+40.53+40.25+40.31)/31</f>
        <v>40.56258064516129</v>
      </c>
      <c r="G11" s="88">
        <v>250</v>
      </c>
      <c r="H11" s="88">
        <f t="shared" si="0"/>
        <v>32</v>
      </c>
      <c r="I11" s="223">
        <v>0.12159722222222223</v>
      </c>
      <c r="J11" s="223">
        <f t="shared" si="1"/>
        <v>1.5775462962962977E-2</v>
      </c>
      <c r="K11" s="203">
        <f>J11+K9</f>
        <v>5.3240740740740762E-2</v>
      </c>
      <c r="L11" s="27">
        <f t="shared" si="2"/>
        <v>0.54258064516128712</v>
      </c>
      <c r="M11" s="37"/>
    </row>
    <row r="12" spans="1:14" s="2" customFormat="1" ht="30" customHeight="1" thickBot="1">
      <c r="A12" s="569"/>
      <c r="B12" s="4">
        <v>7</v>
      </c>
      <c r="C12" s="3" t="s">
        <v>19</v>
      </c>
      <c r="D12" s="88">
        <v>15</v>
      </c>
      <c r="E12" s="105">
        <v>39.590000000000003</v>
      </c>
      <c r="F12" s="107">
        <f>(41.69+40.41+40.36+39.73+40.04+39.85+39.75+39.67+40.2+40.47+40.6+40.03+40.01+39.91+39.98+39.99+39.77+40.86+39.76+39.85+39.76+39.8+39.77+39.83+39.77+39.59+40.09+39.97+39.93)/29</f>
        <v>40.049655172413786</v>
      </c>
      <c r="G12" s="88">
        <v>280</v>
      </c>
      <c r="H12" s="88">
        <f t="shared" si="0"/>
        <v>30</v>
      </c>
      <c r="I12" s="223">
        <v>0.13627314814814814</v>
      </c>
      <c r="J12" s="223">
        <f t="shared" si="1"/>
        <v>1.4675925925925912E-2</v>
      </c>
      <c r="K12" s="242">
        <f>J12+K10</f>
        <v>8.3032407407407374E-2</v>
      </c>
      <c r="L12" s="27">
        <f t="shared" si="2"/>
        <v>0.45965517241378251</v>
      </c>
      <c r="M12" s="47">
        <f>AVERAGE(L7,L9,L11,L13)</f>
        <v>0.51164929391820202</v>
      </c>
      <c r="N12" s="2" t="s">
        <v>112</v>
      </c>
    </row>
    <row r="13" spans="1:14" s="2" customFormat="1" ht="30" customHeight="1" thickBot="1">
      <c r="A13" s="569"/>
      <c r="B13" s="174" t="s">
        <v>13</v>
      </c>
      <c r="C13" s="28" t="s">
        <v>20</v>
      </c>
      <c r="D13" s="109">
        <v>14</v>
      </c>
      <c r="E13" s="253">
        <v>39.840000000000003</v>
      </c>
      <c r="F13" s="245">
        <f>(41.04+40.98+41.04+40.06+40.02+40.16+39.92+40+39.76+39.68+40.79+40.38+40.5+40.53+40.13+40.27+40.21+40.48+40.14+39.9+40.27+40.38+40.16+41.09+39.92+39.99+40.36+40.24+40.3+41.09+40.03+40.11+40.11+39.9+39.77+41.33+39.96+40.42+41.18+41.43+40.19+40.26+39.97+39.85+40.03+40+39.92+40.14+39.93+40.42+40.23+40.16+40.39+40.11+39.84+40.16+39.96+40.94+39.89+41.16+40.38)/61</f>
        <v>40.29442622950819</v>
      </c>
      <c r="G13" s="254">
        <v>343</v>
      </c>
      <c r="H13" s="109">
        <f t="shared" si="0"/>
        <v>63</v>
      </c>
      <c r="I13" s="224">
        <v>0.16701388888888891</v>
      </c>
      <c r="J13" s="224">
        <f t="shared" si="1"/>
        <v>3.0740740740740763E-2</v>
      </c>
      <c r="K13" s="231">
        <f>J13+K11</f>
        <v>8.3981481481481518E-2</v>
      </c>
      <c r="L13" s="274">
        <f t="shared" si="2"/>
        <v>0.45442622950818645</v>
      </c>
      <c r="M13" s="217">
        <f>AVERAGE(L6,L8,L10,L12)</f>
        <v>0.50172312072374403</v>
      </c>
      <c r="N13" s="2" t="s">
        <v>53</v>
      </c>
    </row>
    <row r="14" spans="1:14" ht="16.5" thickBot="1">
      <c r="A14" s="570"/>
      <c r="B14" s="560"/>
      <c r="C14" s="554"/>
      <c r="D14" s="555"/>
      <c r="E14" s="146">
        <f>AVERAGE(E6:E13)</f>
        <v>39.737500000000011</v>
      </c>
      <c r="F14" s="212">
        <f>AVERAGE(F6:F13)</f>
        <v>40.244186207320972</v>
      </c>
      <c r="G14" s="10"/>
      <c r="H14" s="10"/>
      <c r="I14" s="10"/>
      <c r="J14" s="10"/>
      <c r="K14" s="10"/>
      <c r="L14" s="10"/>
      <c r="M14" s="10"/>
    </row>
    <row r="16" spans="1:14">
      <c r="A16" s="147"/>
    </row>
    <row r="17" spans="1:1" ht="15.75">
      <c r="A17" s="149"/>
    </row>
  </sheetData>
  <mergeCells count="15">
    <mergeCell ref="A1:M1"/>
    <mergeCell ref="A3:M3"/>
    <mergeCell ref="H4:H5"/>
    <mergeCell ref="L4:M4"/>
    <mergeCell ref="I4:I5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zoomScale="90" zoomScaleNormal="90" workbookViewId="0">
      <selection activeCell="L6" sqref="L6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20" ht="19.5">
      <c r="A1" s="428" t="s">
        <v>115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20" ht="10.5" customHeight="1"/>
    <row r="3" spans="1:20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20" s="1" customFormat="1" ht="25.5" customHeight="1">
      <c r="A4" s="409" t="s">
        <v>6</v>
      </c>
      <c r="B4" s="529" t="s">
        <v>7</v>
      </c>
      <c r="C4" s="531" t="s">
        <v>2</v>
      </c>
      <c r="D4" s="557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405" t="s">
        <v>14</v>
      </c>
      <c r="K4" s="556"/>
      <c r="L4" s="405" t="s">
        <v>67</v>
      </c>
      <c r="M4" s="559"/>
    </row>
    <row r="5" spans="1:20" s="1" customFormat="1" ht="22.5" customHeight="1" thickBot="1">
      <c r="A5" s="411"/>
      <c r="B5" s="530"/>
      <c r="C5" s="532"/>
      <c r="D5" s="558"/>
      <c r="E5" s="536"/>
      <c r="F5" s="536"/>
      <c r="G5" s="532"/>
      <c r="H5" s="532"/>
      <c r="I5" s="532"/>
      <c r="J5" s="31" t="s">
        <v>1</v>
      </c>
      <c r="K5" s="31" t="s">
        <v>0</v>
      </c>
      <c r="L5" s="44" t="s">
        <v>68</v>
      </c>
      <c r="M5" s="45" t="s">
        <v>69</v>
      </c>
    </row>
    <row r="6" spans="1:20" s="2" customFormat="1" ht="30" customHeight="1">
      <c r="A6" s="551" t="s">
        <v>55</v>
      </c>
      <c r="B6" s="173">
        <v>1</v>
      </c>
      <c r="C6" s="39" t="s">
        <v>155</v>
      </c>
      <c r="D6" s="108">
        <v>2</v>
      </c>
      <c r="E6" s="214">
        <v>39.869999999999997</v>
      </c>
      <c r="F6" s="197">
        <f>(41.9+40.82+40.25+40.16+40.26+39.87+40.24+40.26+40.23+40.69+40.38+40.41+40.32+41.19+41.77+40.29+40.34+40.28+40.33+40.8+41.5+40.3+40.23+41.19+40.61+40.18+40.12+40.03+40.23+40.02+40.29+40.15+40.03+39.99+40.12+40.05+40.62+40.13+40.71+40.31+40.4+40.23)/42</f>
        <v>40.434047619047611</v>
      </c>
      <c r="G6" s="39">
        <v>42</v>
      </c>
      <c r="H6" s="39">
        <f>G6-0</f>
        <v>42</v>
      </c>
      <c r="I6" s="40">
        <v>2.0937499999999998E-2</v>
      </c>
      <c r="J6" s="256">
        <f>I6</f>
        <v>2.0937499999999998E-2</v>
      </c>
      <c r="K6" s="41">
        <f>J6</f>
        <v>2.0937499999999998E-2</v>
      </c>
      <c r="L6" s="194">
        <f>F6-E6</f>
        <v>0.56404761904761358</v>
      </c>
      <c r="M6" s="209"/>
    </row>
    <row r="7" spans="1:20" s="2" customFormat="1" ht="30" customHeight="1">
      <c r="A7" s="552"/>
      <c r="B7" s="5">
        <v>2</v>
      </c>
      <c r="C7" s="81" t="s">
        <v>25</v>
      </c>
      <c r="D7" s="88">
        <v>12</v>
      </c>
      <c r="E7" s="143">
        <v>40.21</v>
      </c>
      <c r="F7" s="151">
        <f>(41.87+40.68+40.52+41.07+41.54+40.79+40.36+40.6+40.53+40.39+40.87+40.37+40.21+40.31+40.68+40.38+40.75+40.83+41.35+40.72+40.32+40.36)/22</f>
        <v>40.704545454545467</v>
      </c>
      <c r="G7" s="3">
        <v>65</v>
      </c>
      <c r="H7" s="3">
        <f t="shared" ref="H7:H13" si="0">G7-G6</f>
        <v>23</v>
      </c>
      <c r="I7" s="20">
        <v>3.2581018518518516E-2</v>
      </c>
      <c r="J7" s="20">
        <f t="shared" ref="J7:J13" si="1">I7-I6</f>
        <v>1.1643518518518518E-2</v>
      </c>
      <c r="K7" s="21">
        <f>J7</f>
        <v>1.1643518518518518E-2</v>
      </c>
      <c r="L7" s="275">
        <f t="shared" ref="L7:L13" si="2">F7-E7</f>
        <v>0.49454545454546661</v>
      </c>
      <c r="M7" s="192"/>
    </row>
    <row r="8" spans="1:20" s="2" customFormat="1" ht="30" customHeight="1" thickBot="1">
      <c r="A8" s="552"/>
      <c r="B8" s="5">
        <v>3</v>
      </c>
      <c r="C8" s="3" t="s">
        <v>156</v>
      </c>
      <c r="D8" s="88">
        <v>2</v>
      </c>
      <c r="E8" s="106">
        <v>39.82</v>
      </c>
      <c r="F8" s="151">
        <f>(41.42+40.5+40.24+40.77+40.16+40.17+40.02+39.9+39.89+40+40.22+40.29+40.11+40.22+40.11+40.13+40.66+40.48+40.28+40.29+40.15+39.95+40.26+39.97+39.89+40.23+40.11+40.15+39.82+40.51+39.96+40.06+39.95+40+40.07+39.99+40.04+40.22+39.95+40.04+39.95+40.41+42.21+40.95+41.82+43.27+40.39+40.84+40.22+39.97+40.32+40.23+40.14+41.03+40.13+40.23+39.99+40.1+40.17)/59</f>
        <v>40.331355932203394</v>
      </c>
      <c r="G8" s="3">
        <v>125</v>
      </c>
      <c r="H8" s="3">
        <f t="shared" si="0"/>
        <v>60</v>
      </c>
      <c r="I8" s="20">
        <v>6.1388888888888889E-2</v>
      </c>
      <c r="J8" s="20">
        <f t="shared" si="1"/>
        <v>2.8807870370370373E-2</v>
      </c>
      <c r="K8" s="21">
        <f>J8</f>
        <v>2.8807870370370373E-2</v>
      </c>
      <c r="L8" s="239">
        <f t="shared" si="2"/>
        <v>0.51135593220339359</v>
      </c>
      <c r="M8" s="192"/>
    </row>
    <row r="9" spans="1:20" s="2" customFormat="1" ht="30" customHeight="1" thickBot="1">
      <c r="A9" s="552"/>
      <c r="B9" s="5">
        <v>4</v>
      </c>
      <c r="C9" s="3" t="s">
        <v>155</v>
      </c>
      <c r="D9" s="114" t="s">
        <v>160</v>
      </c>
      <c r="E9" s="110">
        <v>39.42</v>
      </c>
      <c r="F9" s="49">
        <f>(41.93+40.58+40.44+40.17+40+39.95+40.12+39.96+39.97+40.25+39.92+40.24+40.05+39.83+40.13+39.42+39.64+39.7+39.58+39.6+40.03+39.9+39.98+39.66+39.42+39.82+39.63+39.48+39.83+39.66+39.83+39.77+39.9+39.98+39.8+39.76+39.66+39.81+39.92+39.46+40+41.36+39.97+39.76+39.98+39.9+40.31+39.99+39.88+39.97+40.23)/51</f>
        <v>39.963333333333338</v>
      </c>
      <c r="G9" s="3">
        <v>178</v>
      </c>
      <c r="H9" s="3">
        <f t="shared" si="0"/>
        <v>53</v>
      </c>
      <c r="I9" s="20">
        <v>8.74537037037037E-2</v>
      </c>
      <c r="J9" s="20">
        <f t="shared" si="1"/>
        <v>2.6064814814814811E-2</v>
      </c>
      <c r="K9" s="23">
        <f>J9+K6</f>
        <v>4.7002314814814809E-2</v>
      </c>
      <c r="L9" s="239">
        <f t="shared" si="2"/>
        <v>0.54333333333333655</v>
      </c>
      <c r="M9" s="192"/>
    </row>
    <row r="10" spans="1:20" s="2" customFormat="1" ht="30" customHeight="1" thickBot="1">
      <c r="A10" s="552"/>
      <c r="B10" s="5">
        <v>5</v>
      </c>
      <c r="C10" s="3" t="s">
        <v>25</v>
      </c>
      <c r="D10" s="88">
        <v>21</v>
      </c>
      <c r="E10" s="115">
        <v>39.54</v>
      </c>
      <c r="F10" s="151">
        <f>(41.49+40.42+40.01+40.23+40.14+39.85+40.17+40.03+40.01+41.16+39.87+40.01+40.1+40.41+40.12+42.64+39.91+39.77+39.85+40.17+39.74+39.95+39.65+39.54+39.75+40.09+40.14)/27</f>
        <v>40.193333333333328</v>
      </c>
      <c r="G10" s="3">
        <v>206</v>
      </c>
      <c r="H10" s="3">
        <f t="shared" si="0"/>
        <v>28</v>
      </c>
      <c r="I10" s="20">
        <v>0.10118055555555555</v>
      </c>
      <c r="J10" s="20">
        <f t="shared" si="1"/>
        <v>1.3726851851851851E-2</v>
      </c>
      <c r="K10" s="23">
        <f>J10+K7</f>
        <v>2.537037037037037E-2</v>
      </c>
      <c r="L10" s="239">
        <f t="shared" si="2"/>
        <v>0.65333333333332888</v>
      </c>
      <c r="M10" s="48"/>
    </row>
    <row r="11" spans="1:20" s="2" customFormat="1" ht="30" customHeight="1" thickBot="1">
      <c r="A11" s="552"/>
      <c r="B11" s="5">
        <v>6</v>
      </c>
      <c r="C11" s="3" t="s">
        <v>156</v>
      </c>
      <c r="D11" s="112">
        <v>1</v>
      </c>
      <c r="E11" s="260">
        <v>39.4</v>
      </c>
      <c r="F11" s="262">
        <f>(41.11+40.34+39.93+39.69+39.74+39.84+39.74+39.55+39.52+39.66+39.6+39.67+39.63+39.67+39.58+39.55+39.46+39.55+39.5+39.97+39.63+39.73+39.46+39.5+39.52+39.4+39.59+39.49+39.54+39.95+40.05+39.6+39.58+39.64+39.98+39.48+39.59+39.68+39.47+39.7+39.68+39.66+45.06+40.56+39.72+39.68+39.53+39.63+39.78+39.65+39.42+39.6+39.46+39.46+39.68)/55</f>
        <v>39.790000000000006</v>
      </c>
      <c r="G11" s="3">
        <v>262</v>
      </c>
      <c r="H11" s="3">
        <f t="shared" si="0"/>
        <v>56</v>
      </c>
      <c r="I11" s="20">
        <v>0.12771990740740741</v>
      </c>
      <c r="J11" s="20">
        <f t="shared" si="1"/>
        <v>2.6539351851851856E-2</v>
      </c>
      <c r="K11" s="255">
        <f>J11+K8</f>
        <v>5.5347222222222228E-2</v>
      </c>
      <c r="L11" s="275">
        <f t="shared" si="2"/>
        <v>0.39000000000000767</v>
      </c>
      <c r="M11" s="207">
        <f>AVERAGE(L7,L10,L12)</f>
        <v>0.58115567439096816</v>
      </c>
      <c r="N11" s="2" t="s">
        <v>157</v>
      </c>
      <c r="O11" s="25"/>
      <c r="P11" s="25"/>
      <c r="Q11" s="25"/>
      <c r="R11" s="25"/>
      <c r="S11" s="25"/>
      <c r="T11" s="25"/>
    </row>
    <row r="12" spans="1:20" s="2" customFormat="1" ht="30" customHeight="1" thickBot="1">
      <c r="A12" s="552"/>
      <c r="B12" s="5">
        <v>7</v>
      </c>
      <c r="C12" s="3" t="s">
        <v>25</v>
      </c>
      <c r="D12" s="112">
        <v>7</v>
      </c>
      <c r="E12" s="110">
        <v>39.450000000000003</v>
      </c>
      <c r="F12" s="49">
        <f>(41.35+41.2+39.79+40.09+39.84+39.97+43.12+39.9+39.6+40.31+39.84+39.82+39.9+41.03+40.34+39.91+39.89+39.69+40+39.75+39.9+39.59+39.86+39.79+39.89+39.71+39.85+39.59+39.65+39.96+39.8+39.58+39.45+39.59)/34</f>
        <v>40.045588235294112</v>
      </c>
      <c r="G12" s="3">
        <v>297</v>
      </c>
      <c r="H12" s="3">
        <f t="shared" si="0"/>
        <v>35</v>
      </c>
      <c r="I12" s="20">
        <v>0.14495370370370372</v>
      </c>
      <c r="J12" s="20">
        <f t="shared" si="1"/>
        <v>1.7233796296296316E-2</v>
      </c>
      <c r="K12" s="22">
        <f t="shared" ref="K12" si="3">J12+K10</f>
        <v>4.2604166666666686E-2</v>
      </c>
      <c r="L12" s="239">
        <f t="shared" si="2"/>
        <v>0.59558823529410887</v>
      </c>
      <c r="M12" s="207">
        <f>AVERAGE(L6,L9,L13)</f>
        <v>0.52541486291486217</v>
      </c>
      <c r="N12" s="2" t="s">
        <v>158</v>
      </c>
    </row>
    <row r="13" spans="1:20" s="2" customFormat="1" ht="30" customHeight="1" thickBot="1">
      <c r="A13" s="552"/>
      <c r="B13" s="174" t="s">
        <v>13</v>
      </c>
      <c r="C13" s="28" t="s">
        <v>155</v>
      </c>
      <c r="D13" s="109">
        <v>15</v>
      </c>
      <c r="E13" s="261">
        <v>39.450000000000003</v>
      </c>
      <c r="F13" s="113">
        <f>(41.44+40.42+40.05+40+40.91+39.73+39.77+39.47+39.86+40.52+39.6+39.58+39.67+39.77+39.84+40.82+39.85+39.76+39.92+39.8+39.73+39.75+39.7+39.45+39.81+39.66+39.77+40.57+40.06+39.83+39.87+39.64+39.76+39.71+39.55+39.98+39.94+40.16+39.74+39.58+39.66+39.93+40.07+39.73)/44</f>
        <v>39.918863636363639</v>
      </c>
      <c r="G13" s="28">
        <v>343</v>
      </c>
      <c r="H13" s="28">
        <f t="shared" si="0"/>
        <v>46</v>
      </c>
      <c r="I13" s="29">
        <v>0.16718750000000002</v>
      </c>
      <c r="J13" s="29">
        <f t="shared" si="1"/>
        <v>2.2233796296296293E-2</v>
      </c>
      <c r="K13" s="43">
        <f>J13+K9</f>
        <v>6.9236111111111109E-2</v>
      </c>
      <c r="L13" s="195">
        <f t="shared" si="2"/>
        <v>0.46886363636363626</v>
      </c>
      <c r="M13" s="210">
        <f>AVERAGE(L8,L11)</f>
        <v>0.45067796610170063</v>
      </c>
      <c r="N13" s="2" t="s">
        <v>159</v>
      </c>
      <c r="O13" s="263">
        <f>AVERAGE(M12:M13)</f>
        <v>0.4880464145082814</v>
      </c>
      <c r="P13" s="2" t="s">
        <v>161</v>
      </c>
    </row>
    <row r="14" spans="1:20" ht="16.5" thickBot="1">
      <c r="A14" s="524"/>
      <c r="B14" s="560"/>
      <c r="C14" s="554"/>
      <c r="D14" s="555"/>
      <c r="E14" s="146">
        <f>AVERAGE(E6:E13)</f>
        <v>39.644999999999996</v>
      </c>
      <c r="F14" s="212">
        <f>AVERAGE(F6:F13)</f>
        <v>40.172633443015116</v>
      </c>
      <c r="G14" s="10"/>
      <c r="H14" s="10"/>
      <c r="I14" s="10"/>
      <c r="J14" s="257" t="s">
        <v>114</v>
      </c>
      <c r="K14" s="10"/>
      <c r="L14" s="10"/>
      <c r="M14" s="10"/>
    </row>
    <row r="16" spans="1:20">
      <c r="A16" s="147"/>
    </row>
    <row r="17" spans="1:1" ht="15.75">
      <c r="A17" s="26"/>
    </row>
  </sheetData>
  <mergeCells count="15">
    <mergeCell ref="A1:M1"/>
    <mergeCell ref="A3:M3"/>
    <mergeCell ref="H4:H5"/>
    <mergeCell ref="L4:M4"/>
    <mergeCell ref="I4:I5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0"/>
  <sheetViews>
    <sheetView topLeftCell="B1" zoomScale="90" zoomScaleNormal="90" workbookViewId="0">
      <selection activeCell="O18" sqref="O1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20" ht="19.5">
      <c r="A1" s="428" t="s">
        <v>115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20" ht="10.5" customHeight="1"/>
    <row r="3" spans="1:20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20" s="1" customFormat="1" ht="25.5" customHeight="1">
      <c r="A4" s="409" t="s">
        <v>6</v>
      </c>
      <c r="B4" s="529" t="s">
        <v>7</v>
      </c>
      <c r="C4" s="531" t="s">
        <v>2</v>
      </c>
      <c r="D4" s="557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405" t="s">
        <v>14</v>
      </c>
      <c r="K4" s="556"/>
      <c r="L4" s="405" t="s">
        <v>67</v>
      </c>
      <c r="M4" s="559"/>
    </row>
    <row r="5" spans="1:20" s="1" customFormat="1" ht="22.5" customHeight="1" thickBot="1">
      <c r="A5" s="411"/>
      <c r="B5" s="530"/>
      <c r="C5" s="532"/>
      <c r="D5" s="558"/>
      <c r="E5" s="536"/>
      <c r="F5" s="536"/>
      <c r="G5" s="532"/>
      <c r="H5" s="532"/>
      <c r="I5" s="532"/>
      <c r="J5" s="31" t="s">
        <v>1</v>
      </c>
      <c r="K5" s="31" t="s">
        <v>0</v>
      </c>
      <c r="L5" s="44" t="s">
        <v>68</v>
      </c>
      <c r="M5" s="45" t="s">
        <v>69</v>
      </c>
    </row>
    <row r="6" spans="1:20" s="2" customFormat="1" ht="30" customHeight="1" thickBot="1">
      <c r="A6" s="522" t="s">
        <v>60</v>
      </c>
      <c r="B6" s="185">
        <v>1</v>
      </c>
      <c r="C6" s="108" t="s">
        <v>127</v>
      </c>
      <c r="D6" s="108">
        <v>9</v>
      </c>
      <c r="E6" s="214">
        <v>40.82</v>
      </c>
      <c r="F6" s="267">
        <f>(42.21+40.82+41.07+41.18+41.37+40.86+40.93+40.89+40.97+41.07+41.25+41.2+41.16+41.2+41.32+41.44+41.29+41.22+41.46+42.65+42+41.43+41.42+41.46+41.83+41.14+43.51+42.34)/28</f>
        <v>41.453214285714289</v>
      </c>
      <c r="G6" s="108">
        <v>29</v>
      </c>
      <c r="H6" s="228">
        <f>G6-0</f>
        <v>29</v>
      </c>
      <c r="I6" s="198">
        <v>1.5196759259259259E-2</v>
      </c>
      <c r="J6" s="198">
        <f>I6</f>
        <v>1.5196759259259259E-2</v>
      </c>
      <c r="K6" s="205">
        <f>J6</f>
        <v>1.5196759259259259E-2</v>
      </c>
      <c r="L6" s="46">
        <f>F6-E6</f>
        <v>0.63321428571428839</v>
      </c>
      <c r="M6" s="182"/>
    </row>
    <row r="7" spans="1:20" s="2" customFormat="1" ht="30" customHeight="1" thickBot="1">
      <c r="A7" s="523"/>
      <c r="B7" s="183">
        <v>2</v>
      </c>
      <c r="C7" s="88" t="s">
        <v>125</v>
      </c>
      <c r="D7" s="88">
        <v>13</v>
      </c>
      <c r="E7" s="266">
        <v>39.9</v>
      </c>
      <c r="F7" s="245">
        <f>(42.3+40.49+40.61+40.19+40.03+40.02+40.26+40.16+40.58+41.22+40.28+40.59+40.48+39.97+41.5+40.47+40.53+40.55+40.17+40.34+40.46+40.47+40.32+40.56+40.76+40.61+40.76+40.22+40.33+40.32+40.11+40.4+40.27+40.35+39.9+40.24+40.23+40.13+40.27+40.38)/40</f>
        <v>40.445749999999997</v>
      </c>
      <c r="G7" s="243">
        <v>70</v>
      </c>
      <c r="H7" s="88">
        <f t="shared" ref="H7:H16" si="0">G7-G6</f>
        <v>41</v>
      </c>
      <c r="I7" s="226">
        <v>3.516203703703704E-2</v>
      </c>
      <c r="J7" s="226">
        <f t="shared" ref="J7:J16" si="1">I7-I6</f>
        <v>1.9965277777777783E-2</v>
      </c>
      <c r="K7" s="220">
        <f>J7</f>
        <v>1.9965277777777783E-2</v>
      </c>
      <c r="L7" s="273">
        <f t="shared" ref="L7:L16" si="2">F7-E7</f>
        <v>0.54574999999999818</v>
      </c>
      <c r="M7" s="14"/>
    </row>
    <row r="8" spans="1:20" s="2" customFormat="1" ht="30" customHeight="1">
      <c r="A8" s="523"/>
      <c r="B8" s="402">
        <v>3</v>
      </c>
      <c r="C8" s="571" t="s">
        <v>128</v>
      </c>
      <c r="D8" s="88">
        <v>9</v>
      </c>
      <c r="E8" s="105">
        <v>40.479999999999997</v>
      </c>
      <c r="F8" s="208">
        <f>(41.98+40.54+41.18+41.36+40.67+40.53+41.12+40.99+40.48+40.71)/10</f>
        <v>40.956000000000003</v>
      </c>
      <c r="G8" s="88">
        <v>81</v>
      </c>
      <c r="H8" s="571">
        <f>G9-G7</f>
        <v>24</v>
      </c>
      <c r="I8" s="573">
        <v>4.8067129629629633E-2</v>
      </c>
      <c r="J8" s="573">
        <f>I8-I7</f>
        <v>1.2905092592592593E-2</v>
      </c>
      <c r="K8" s="575">
        <f>J8</f>
        <v>1.2905092592592593E-2</v>
      </c>
      <c r="L8" s="27">
        <f t="shared" si="2"/>
        <v>0.4760000000000062</v>
      </c>
      <c r="M8" s="14"/>
    </row>
    <row r="9" spans="1:20" s="2" customFormat="1" ht="30" customHeight="1">
      <c r="A9" s="523"/>
      <c r="B9" s="398"/>
      <c r="C9" s="572"/>
      <c r="D9" s="218" t="s">
        <v>165</v>
      </c>
      <c r="E9" s="143">
        <v>40.99</v>
      </c>
      <c r="F9" s="151">
        <f>(43.35+41.31+41.25+41.21+40.99+41.02+41.77+41.02+41.28+41.34+41.93+41.31)/12</f>
        <v>41.481666666666676</v>
      </c>
      <c r="G9" s="88">
        <v>94</v>
      </c>
      <c r="H9" s="572"/>
      <c r="I9" s="574"/>
      <c r="J9" s="574"/>
      <c r="K9" s="576"/>
      <c r="L9" s="27">
        <f t="shared" si="2"/>
        <v>0.49166666666667425</v>
      </c>
      <c r="M9" s="14"/>
    </row>
    <row r="10" spans="1:20" s="2" customFormat="1" ht="30" customHeight="1">
      <c r="A10" s="523"/>
      <c r="B10" s="183">
        <v>4</v>
      </c>
      <c r="C10" s="88" t="s">
        <v>127</v>
      </c>
      <c r="D10" s="218" t="s">
        <v>133</v>
      </c>
      <c r="E10" s="88">
        <v>40.58</v>
      </c>
      <c r="F10" s="151">
        <f>(42.24+42.14+41.35+40.52+40.97+40.78+40.7+40.85+40.71+40.58+41.23+40.69+41.02+40.89+40.71+40.87+42.09+41.59+41+40.83+40.81+40.99+41.03+41.17+41.07+41.24+40.78+42.7+41.57+41.66+41.16+41.26)/32</f>
        <v>41.162500000000009</v>
      </c>
      <c r="G10" s="88">
        <v>127</v>
      </c>
      <c r="H10" s="88">
        <f t="shared" si="0"/>
        <v>33</v>
      </c>
      <c r="I10" s="226">
        <v>6.4537037037037046E-2</v>
      </c>
      <c r="J10" s="226">
        <f>I10-I8</f>
        <v>1.6469907407407412E-2</v>
      </c>
      <c r="K10" s="220">
        <f>J10+J6</f>
        <v>3.1666666666666669E-2</v>
      </c>
      <c r="L10" s="27">
        <f t="shared" si="2"/>
        <v>0.58250000000001023</v>
      </c>
      <c r="M10" s="14"/>
    </row>
    <row r="11" spans="1:20" s="2" customFormat="1" ht="30" customHeight="1">
      <c r="A11" s="523"/>
      <c r="B11" s="183">
        <v>5</v>
      </c>
      <c r="C11" s="88" t="s">
        <v>125</v>
      </c>
      <c r="D11" s="88">
        <v>21</v>
      </c>
      <c r="E11" s="105">
        <v>40.03</v>
      </c>
      <c r="F11" s="151">
        <f>(41.79+40.82+40.56+40.51+40.17+40.49+41.26+40.38+40.24+40.26+40.67+40.91+40.33+41.26+40.23+40.36+40.12+40.26+40.05+40.03+40.73+40.33+40.27+40.74+40.67+40.32+41.03+40.04+41.73+40.94+41.47+41.86)/32</f>
        <v>40.650937499999998</v>
      </c>
      <c r="G11" s="88">
        <v>160</v>
      </c>
      <c r="H11" s="88">
        <f t="shared" si="0"/>
        <v>33</v>
      </c>
      <c r="I11" s="226">
        <v>8.0833333333333326E-2</v>
      </c>
      <c r="J11" s="226">
        <f t="shared" si="1"/>
        <v>1.6296296296296281E-2</v>
      </c>
      <c r="K11" s="220">
        <f>J11+K7</f>
        <v>3.6261574074074064E-2</v>
      </c>
      <c r="L11" s="27">
        <f t="shared" si="2"/>
        <v>0.62093749999999659</v>
      </c>
      <c r="M11" s="14"/>
    </row>
    <row r="12" spans="1:20" s="2" customFormat="1" ht="30" customHeight="1">
      <c r="A12" s="523"/>
      <c r="B12" s="183">
        <v>6</v>
      </c>
      <c r="C12" s="88" t="s">
        <v>128</v>
      </c>
      <c r="D12" s="88">
        <v>4</v>
      </c>
      <c r="E12" s="105">
        <v>40.729999999999997</v>
      </c>
      <c r="F12" s="151">
        <f>(41.83+40.96+40.97+41.31+41.05+40.96+40.92+40.79+41.83+41.14+41.23+40.83+41.17+41.49+41.64+40.84+40.96+41.56+41.66+41.21+41.42+40.79+41.35+41.14+40.73+41.04+42.01+40.92+40.98+40.91+41.03+41.03+41+41.321+41.79+41.48)/36</f>
        <v>41.202527777777775</v>
      </c>
      <c r="G12" s="88">
        <v>197</v>
      </c>
      <c r="H12" s="88">
        <f t="shared" si="0"/>
        <v>37</v>
      </c>
      <c r="I12" s="226">
        <v>9.9236111111111122E-2</v>
      </c>
      <c r="J12" s="226">
        <f t="shared" si="1"/>
        <v>1.8402777777777796E-2</v>
      </c>
      <c r="K12" s="220">
        <f>J12+K8</f>
        <v>3.1307870370370389E-2</v>
      </c>
      <c r="L12" s="273">
        <f t="shared" si="2"/>
        <v>0.47252777777777766</v>
      </c>
      <c r="M12" s="14"/>
      <c r="O12" s="25"/>
      <c r="P12" s="25"/>
      <c r="Q12" s="25"/>
      <c r="R12" s="25"/>
      <c r="S12" s="25"/>
      <c r="T12" s="25"/>
    </row>
    <row r="13" spans="1:20" s="2" customFormat="1" ht="30" customHeight="1" thickBot="1">
      <c r="A13" s="523"/>
      <c r="B13" s="183">
        <v>7</v>
      </c>
      <c r="C13" s="88" t="s">
        <v>127</v>
      </c>
      <c r="D13" s="88">
        <v>2</v>
      </c>
      <c r="E13" s="106">
        <v>40.590000000000003</v>
      </c>
      <c r="F13" s="151">
        <f>(42.34+41.4+41.35+41.63+40.95+41.8+40.83+40.94+41.15+40.62+40.81+40.59+40.87+40.97+40.88+40.95+41.03+41.02+41.1+42.29+41.46+41.65+41.47+40.88+41.29+41+41.39+41.09+41.73+40.77+41.1+40.73+41.03+42.35+40.8+40.87+41.07+40.76+41.57+40.95+40.64+41.01)/42</f>
        <v>41.169761904761899</v>
      </c>
      <c r="G13" s="88">
        <v>240</v>
      </c>
      <c r="H13" s="88">
        <f t="shared" si="0"/>
        <v>43</v>
      </c>
      <c r="I13" s="226">
        <v>0.12047453703703703</v>
      </c>
      <c r="J13" s="226">
        <f t="shared" si="1"/>
        <v>2.1238425925925911E-2</v>
      </c>
      <c r="K13" s="220">
        <f>J13+K10</f>
        <v>5.290509259259258E-2</v>
      </c>
      <c r="L13" s="27">
        <f t="shared" si="2"/>
        <v>0.57976190476189515</v>
      </c>
      <c r="M13" s="14"/>
      <c r="O13" s="25"/>
      <c r="P13" s="25"/>
      <c r="Q13" s="25"/>
      <c r="R13" s="25"/>
      <c r="S13" s="25"/>
      <c r="T13" s="25"/>
    </row>
    <row r="14" spans="1:20" s="2" customFormat="1" ht="30" customHeight="1" thickBot="1">
      <c r="A14" s="523"/>
      <c r="B14" s="183">
        <v>8</v>
      </c>
      <c r="C14" s="88" t="s">
        <v>125</v>
      </c>
      <c r="D14" s="112">
        <v>13</v>
      </c>
      <c r="E14" s="110">
        <v>39.869999999999997</v>
      </c>
      <c r="F14" s="118">
        <f>(43.15+41.67+40.54+40.38+39.87+40.2+40.38+39.92+40.74+40.1+40.22+41.69+40.64+40.18+40.22+40.17+40.09+40.25+40.23+40.43+40.27+40.79+40.07+40.21+39.92+40.38+40.35+40.45+40.14+40.62+40.43+40.36+40.35+40.57)/34</f>
        <v>40.469999999999992</v>
      </c>
      <c r="G14" s="88">
        <v>275</v>
      </c>
      <c r="H14" s="88">
        <f t="shared" si="0"/>
        <v>35</v>
      </c>
      <c r="I14" s="226">
        <v>0.13765046296296296</v>
      </c>
      <c r="J14" s="226">
        <f t="shared" si="1"/>
        <v>1.7175925925925928E-2</v>
      </c>
      <c r="K14" s="242">
        <f>J14+K11</f>
        <v>5.3437499999999992E-2</v>
      </c>
      <c r="L14" s="27">
        <f t="shared" si="2"/>
        <v>0.59999999999999432</v>
      </c>
      <c r="M14" s="264">
        <f>AVERAGE(L14,L11,L7)</f>
        <v>0.58889583333332973</v>
      </c>
      <c r="N14" s="2" t="s">
        <v>162</v>
      </c>
      <c r="O14" s="25"/>
      <c r="P14" s="25"/>
      <c r="Q14" s="25"/>
      <c r="R14" s="25"/>
      <c r="S14" s="25"/>
      <c r="T14" s="25"/>
    </row>
    <row r="15" spans="1:20" s="2" customFormat="1" ht="30" customHeight="1" thickBot="1">
      <c r="A15" s="523"/>
      <c r="B15" s="183">
        <v>9</v>
      </c>
      <c r="C15" s="88" t="s">
        <v>128</v>
      </c>
      <c r="D15" s="112">
        <v>3</v>
      </c>
      <c r="E15" s="241">
        <v>39.58</v>
      </c>
      <c r="F15" s="245">
        <f>(41.76+40.4+40.37+40.27+40.1+40.08+40.14+40.73+40.29+40.61+40.04+39.78+39.98+40.31+40.37+40.44+39.93+39.81+39.67+39.58+40.37+39.98+40.15+40.19+40.07+40.08+39.95+40.02+40.33+40.19+39.99)/31</f>
        <v>40.192903225806461</v>
      </c>
      <c r="G15" s="243">
        <v>309</v>
      </c>
      <c r="H15" s="88">
        <f t="shared" si="0"/>
        <v>34</v>
      </c>
      <c r="I15" s="226">
        <v>0.15597222222222221</v>
      </c>
      <c r="J15" s="226">
        <f t="shared" si="1"/>
        <v>1.8321759259259246E-2</v>
      </c>
      <c r="K15" s="242">
        <f>J15+K12</f>
        <v>4.9629629629629635E-2</v>
      </c>
      <c r="L15" s="27">
        <f t="shared" si="2"/>
        <v>0.61290322580646261</v>
      </c>
      <c r="M15" s="47">
        <f>AVERAGE(L15,L12,L8,L9)</f>
        <v>0.51327441756273018</v>
      </c>
      <c r="N15" s="2" t="s">
        <v>163</v>
      </c>
    </row>
    <row r="16" spans="1:20" s="2" customFormat="1" ht="30" customHeight="1" thickBot="1">
      <c r="A16" s="523"/>
      <c r="B16" s="184" t="s">
        <v>13</v>
      </c>
      <c r="C16" s="109" t="s">
        <v>127</v>
      </c>
      <c r="D16" s="265">
        <v>7</v>
      </c>
      <c r="E16" s="110">
        <v>40.04</v>
      </c>
      <c r="F16" s="245">
        <f>(42.02+41.16+40.44+40.09+40.67+40.69+40.59+40.13+40.45+40.33+40.67+40.55+40.82+40.04+40.65+40.49+42.07+40.66+40.12+40.27+40.19+40.77+40.59+40.14)/24</f>
        <v>40.608333333333327</v>
      </c>
      <c r="G16" s="254">
        <v>334</v>
      </c>
      <c r="H16" s="109">
        <f t="shared" si="0"/>
        <v>25</v>
      </c>
      <c r="I16" s="224">
        <v>0.16725694444444447</v>
      </c>
      <c r="J16" s="224">
        <f t="shared" si="1"/>
        <v>1.1284722222222265E-2</v>
      </c>
      <c r="K16" s="231">
        <f>J16+K13</f>
        <v>6.4189814814814838E-2</v>
      </c>
      <c r="L16" s="274">
        <f t="shared" si="2"/>
        <v>0.56833333333332803</v>
      </c>
      <c r="M16" s="217">
        <f>AVERAGE(L16,L13,L10,L6)</f>
        <v>0.59095238095238045</v>
      </c>
      <c r="N16" s="2" t="s">
        <v>164</v>
      </c>
    </row>
    <row r="17" spans="1:13" ht="16.5" thickBot="1">
      <c r="A17" s="524"/>
      <c r="B17" s="565"/>
      <c r="C17" s="566"/>
      <c r="D17" s="567"/>
      <c r="E17" s="249">
        <f>AVERAGE(E6:E16)</f>
        <v>40.328181818181818</v>
      </c>
      <c r="F17" s="250">
        <f>AVERAGE(F6:F16)</f>
        <v>40.89032679036913</v>
      </c>
      <c r="G17" s="234"/>
      <c r="H17" s="234"/>
      <c r="I17" s="234"/>
      <c r="J17" s="234" t="s">
        <v>114</v>
      </c>
      <c r="K17" s="234"/>
      <c r="L17" s="234"/>
      <c r="M17" s="10"/>
    </row>
    <row r="18" spans="1:13">
      <c r="B18" s="148"/>
      <c r="C18" s="148"/>
      <c r="D18" s="199"/>
      <c r="E18" s="199"/>
      <c r="F18" s="199"/>
      <c r="G18" s="199"/>
      <c r="H18" s="199"/>
      <c r="I18" s="199"/>
      <c r="J18" s="199"/>
      <c r="K18" s="199"/>
      <c r="L18" s="199"/>
    </row>
    <row r="19" spans="1:13">
      <c r="A19" s="147"/>
    </row>
    <row r="20" spans="1:13" ht="15.75">
      <c r="A20" s="26"/>
    </row>
  </sheetData>
  <mergeCells count="21">
    <mergeCell ref="A1:M1"/>
    <mergeCell ref="A3:M3"/>
    <mergeCell ref="H4:H5"/>
    <mergeCell ref="L4:M4"/>
    <mergeCell ref="I4:I5"/>
    <mergeCell ref="A6:A17"/>
    <mergeCell ref="B17:D17"/>
    <mergeCell ref="J4:K4"/>
    <mergeCell ref="A4:A5"/>
    <mergeCell ref="B4:B5"/>
    <mergeCell ref="C4:C5"/>
    <mergeCell ref="D4:D5"/>
    <mergeCell ref="E4:E5"/>
    <mergeCell ref="F4:F5"/>
    <mergeCell ref="G4:G5"/>
    <mergeCell ref="C8:C9"/>
    <mergeCell ref="B8:B9"/>
    <mergeCell ref="H8:H9"/>
    <mergeCell ref="I8:I9"/>
    <mergeCell ref="J8:J9"/>
    <mergeCell ref="K8:K9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"/>
  <sheetViews>
    <sheetView zoomScale="90" zoomScaleNormal="90" workbookViewId="0">
      <selection activeCell="I10" sqref="I10:I11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428" t="s">
        <v>115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4" ht="10.5" customHeight="1"/>
    <row r="3" spans="1:14" ht="15.75" customHeight="1" thickBot="1">
      <c r="A3" s="521" t="s">
        <v>4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</row>
    <row r="4" spans="1:14" s="1" customFormat="1" ht="25.5" customHeight="1">
      <c r="A4" s="409" t="s">
        <v>6</v>
      </c>
      <c r="B4" s="529" t="s">
        <v>7</v>
      </c>
      <c r="C4" s="531" t="s">
        <v>2</v>
      </c>
      <c r="D4" s="557" t="s">
        <v>5</v>
      </c>
      <c r="E4" s="535" t="s">
        <v>64</v>
      </c>
      <c r="F4" s="535" t="s">
        <v>49</v>
      </c>
      <c r="G4" s="531" t="s">
        <v>65</v>
      </c>
      <c r="H4" s="531" t="s">
        <v>66</v>
      </c>
      <c r="I4" s="531" t="s">
        <v>50</v>
      </c>
      <c r="J4" s="405" t="s">
        <v>14</v>
      </c>
      <c r="K4" s="556"/>
      <c r="L4" s="405" t="s">
        <v>67</v>
      </c>
      <c r="M4" s="559"/>
    </row>
    <row r="5" spans="1:14" s="1" customFormat="1" ht="22.5" customHeight="1" thickBot="1">
      <c r="A5" s="411"/>
      <c r="B5" s="530"/>
      <c r="C5" s="532"/>
      <c r="D5" s="558"/>
      <c r="E5" s="536"/>
      <c r="F5" s="536"/>
      <c r="G5" s="532"/>
      <c r="H5" s="532"/>
      <c r="I5" s="532"/>
      <c r="J5" s="31" t="s">
        <v>1</v>
      </c>
      <c r="K5" s="31" t="s">
        <v>0</v>
      </c>
      <c r="L5" s="44" t="s">
        <v>68</v>
      </c>
      <c r="M5" s="45" t="s">
        <v>69</v>
      </c>
    </row>
    <row r="6" spans="1:14" s="2" customFormat="1" ht="30" customHeight="1">
      <c r="A6" s="522" t="s">
        <v>62</v>
      </c>
      <c r="B6" s="181">
        <v>1</v>
      </c>
      <c r="C6" s="108" t="s">
        <v>121</v>
      </c>
      <c r="D6" s="268" t="s">
        <v>149</v>
      </c>
      <c r="E6" s="214">
        <v>39.92</v>
      </c>
      <c r="F6" s="197">
        <f>(41.56+40.24+40.27+40.25+40.18+39.94+40.16+40.12+40.38+40.18+39.97+39.92+40.22+40.36+41.25+40.5+40.05+40.5+40.5+41.01+40.44+39.99+40.63+40.6+42.01+40.46+40.9+39.98+40.2+39.94+40.04+40.29+40.55+40.27+40.2+40.52+41.11)/37</f>
        <v>40.424054054054054</v>
      </c>
      <c r="G6" s="108">
        <v>38</v>
      </c>
      <c r="H6" s="108">
        <f>G6-0</f>
        <v>38</v>
      </c>
      <c r="I6" s="229">
        <v>1.9074074074074073E-2</v>
      </c>
      <c r="J6" s="229">
        <f>I6</f>
        <v>1.9074074074074073E-2</v>
      </c>
      <c r="K6" s="230">
        <f>J6</f>
        <v>1.9074074074074073E-2</v>
      </c>
      <c r="L6" s="277">
        <f>F6-E6</f>
        <v>0.5040540540540519</v>
      </c>
      <c r="M6" s="182"/>
    </row>
    <row r="7" spans="1:14" s="2" customFormat="1" ht="30" customHeight="1">
      <c r="A7" s="523"/>
      <c r="B7" s="183">
        <v>2</v>
      </c>
      <c r="C7" s="88" t="s">
        <v>59</v>
      </c>
      <c r="D7" s="88">
        <v>15</v>
      </c>
      <c r="E7" s="105">
        <v>40.19</v>
      </c>
      <c r="F7" s="151">
        <f>(42.52+41.58+41.01+40.72+40.79+41.3+40.48+40.27+40.19+40.34+40.39+40.52+40.45+40.34+40.52+40.76+40.54+40.68+40.82+41.67+42.28+40.88+40.6+40.63+40.48+40.81+40.6+40.5+40.46+40.66+40.35+40.45+40.92+41.62+40.66+40.57+40.63+40.71+40.44+40.58+40.38+40.47+40.79+40.58+40.37)/45</f>
        <v>40.740222222222222</v>
      </c>
      <c r="G7" s="88">
        <v>84</v>
      </c>
      <c r="H7" s="88">
        <f>G7-G6</f>
        <v>46</v>
      </c>
      <c r="I7" s="226">
        <v>4.1527777777777775E-2</v>
      </c>
      <c r="J7" s="226">
        <f t="shared" ref="J7:J14" si="0">I7-I6</f>
        <v>2.2453703703703701E-2</v>
      </c>
      <c r="K7" s="220">
        <f>J7</f>
        <v>2.2453703703703701E-2</v>
      </c>
      <c r="L7" s="27">
        <f t="shared" ref="L7:L14" si="1">F7-E7</f>
        <v>0.55022222222222439</v>
      </c>
      <c r="M7" s="14"/>
    </row>
    <row r="8" spans="1:14" s="2" customFormat="1" ht="30" customHeight="1" thickBot="1">
      <c r="A8" s="523"/>
      <c r="B8" s="183">
        <v>3</v>
      </c>
      <c r="C8" s="88" t="s">
        <v>166</v>
      </c>
      <c r="D8" s="88">
        <v>14</v>
      </c>
      <c r="E8" s="144">
        <v>40.81</v>
      </c>
      <c r="F8" s="151">
        <f>(42.71+41.88+41.43+41.36+40.99+41.56+41.31+42.09+41.45+41.55+41.46+41.58+41.09+41.7+41.18+41.75+41.82+41.73+41.68+41.71+41.53+41.57+41.85+41.14+41.43+41.05+41.31+41.39+42.16+42.52+41.36+42.82+42.03+42.18+41.8+41.71+41.67+41.71+41.37+41.06+41.43+41.58+42.56+42.02+41.19+40.81)/46</f>
        <v>41.636521739130437</v>
      </c>
      <c r="G8" s="88">
        <v>131</v>
      </c>
      <c r="H8" s="88">
        <f t="shared" ref="H8:H12" si="2">G8-G7</f>
        <v>47</v>
      </c>
      <c r="I8" s="226">
        <v>6.4942129629629627E-2</v>
      </c>
      <c r="J8" s="226">
        <f t="shared" si="0"/>
        <v>2.3414351851851853E-2</v>
      </c>
      <c r="K8" s="220">
        <f>J8</f>
        <v>2.3414351851851853E-2</v>
      </c>
      <c r="L8" s="27">
        <f t="shared" si="1"/>
        <v>0.8265217391304347</v>
      </c>
      <c r="M8" s="14"/>
    </row>
    <row r="9" spans="1:14" s="2" customFormat="1" ht="30" customHeight="1" thickBot="1">
      <c r="A9" s="523"/>
      <c r="B9" s="183">
        <v>4</v>
      </c>
      <c r="C9" s="88" t="s">
        <v>121</v>
      </c>
      <c r="D9" s="112">
        <v>7</v>
      </c>
      <c r="E9" s="241">
        <v>39.72</v>
      </c>
      <c r="F9" s="49">
        <f>(41.35+40.28+40.36+40.2+40.24+40.26+40.36+40.08+40.63+40.58+40.27+40.29+40.19+39.72+40.42+40.03+40.17+40.17+40.12+39.83+41.08+40+40.03+40.52+40.31+40.19+39.92+40.04+40.05+40.37+40.21+40.3+39.96+40.25+40.74+40.04+40.06+40.18+41.42+40.44+39.95+40.16+39.99+41.6+40.46+40.23+40.39+40.48+40.12+40.18+40.04+39.97+40.14+39.81+40.01+40.09+40.13+39.96+39.97+40.02+40.13+40.43+39.95+40.11+40.3+40.6+40.17+40.4)/68</f>
        <v>40.256617647058825</v>
      </c>
      <c r="G9" s="88">
        <v>200</v>
      </c>
      <c r="H9" s="88">
        <f t="shared" si="2"/>
        <v>69</v>
      </c>
      <c r="I9" s="226">
        <v>9.784722222222221E-2</v>
      </c>
      <c r="J9" s="226">
        <f t="shared" si="0"/>
        <v>3.2905092592592583E-2</v>
      </c>
      <c r="K9" s="220">
        <f>J9+K6</f>
        <v>5.197916666666666E-2</v>
      </c>
      <c r="L9" s="27">
        <f t="shared" si="1"/>
        <v>0.53661764705882575</v>
      </c>
      <c r="M9" s="14"/>
    </row>
    <row r="10" spans="1:14" s="2" customFormat="1" ht="30" customHeight="1">
      <c r="A10" s="523"/>
      <c r="B10" s="402">
        <v>5</v>
      </c>
      <c r="C10" s="571" t="s">
        <v>59</v>
      </c>
      <c r="D10" s="88">
        <v>12</v>
      </c>
      <c r="E10" s="104">
        <v>40.619999999999997</v>
      </c>
      <c r="F10" s="151">
        <f>(42.27+41.18+40.97+41.19+40.85+40.96+41.25+41.1+40.84+40.98+41.31+41.21+40.87+40.62+41.12+40.95+41+40.85+40.85+42.62+41.36+40.82+41.06)/23</f>
        <v>41.140434782608708</v>
      </c>
      <c r="G10" s="88">
        <v>224</v>
      </c>
      <c r="H10" s="571">
        <f>G11-G9</f>
        <v>58</v>
      </c>
      <c r="I10" s="573">
        <v>0.12765046296296298</v>
      </c>
      <c r="J10" s="573">
        <f>I10-I9</f>
        <v>2.9803240740740769E-2</v>
      </c>
      <c r="K10" s="577">
        <f>J10+K7</f>
        <v>5.2256944444444467E-2</v>
      </c>
      <c r="L10" s="273">
        <f>F10-E10</f>
        <v>0.52043478260871012</v>
      </c>
      <c r="M10" s="14"/>
    </row>
    <row r="11" spans="1:14" s="2" customFormat="1" ht="30" customHeight="1">
      <c r="A11" s="523"/>
      <c r="B11" s="398"/>
      <c r="C11" s="572"/>
      <c r="D11" s="88">
        <v>21</v>
      </c>
      <c r="E11" s="105">
        <v>40.17</v>
      </c>
      <c r="F11" s="151">
        <f>(41.06+40.64+40.58+40.21+40.64+40.96+40.33+40.75+40.59+40.58+40.3+40.35+41.05+40.65+40.74+40.52+40.8+40.64+40.39+40.35+40.83+41.16+40.53+40.62+40.17+41.5+40.5+41.37+40.51+40.59+40.82+40.79+41.57)/33</f>
        <v>40.699696969696951</v>
      </c>
      <c r="G11" s="88">
        <v>258</v>
      </c>
      <c r="H11" s="572"/>
      <c r="I11" s="574"/>
      <c r="J11" s="574"/>
      <c r="K11" s="578"/>
      <c r="L11" s="269">
        <f>F11-E11</f>
        <v>0.52969696969694979</v>
      </c>
      <c r="M11" s="264">
        <f>AVERAGE(L10,L7,L11)</f>
        <v>0.53345132484262814</v>
      </c>
      <c r="N11" s="2" t="s">
        <v>113</v>
      </c>
    </row>
    <row r="12" spans="1:14" s="2" customFormat="1" ht="30" customHeight="1">
      <c r="A12" s="523"/>
      <c r="B12" s="183">
        <v>6</v>
      </c>
      <c r="C12" s="88" t="s">
        <v>166</v>
      </c>
      <c r="D12" s="88">
        <v>4</v>
      </c>
      <c r="E12" s="143">
        <v>41</v>
      </c>
      <c r="F12" s="151">
        <f>(43.49+41.3+41.59+41.27+41.99+42.28+41.51+41.6+42+41.55+41.98+41.55+41.42+41.91+41.38+41.64+41.6+41.9+41.38+41.37+42.5+41.19+41.45+41.05+41.3+41.1+41.71+42.32+41.57+41.03+41.1+42.33+41.1+41.21+41.13+41.84+41.25+41.15+41.24+41.19+41.43+41.19+41+41.45+41.29+41.67+41.83+41.55+42.8+42.37+41.61)/51</f>
        <v>41.601176470588236</v>
      </c>
      <c r="G12" s="88">
        <v>311</v>
      </c>
      <c r="H12" s="88">
        <f t="shared" si="2"/>
        <v>53</v>
      </c>
      <c r="I12" s="226">
        <v>0.15503472222222223</v>
      </c>
      <c r="J12" s="226">
        <f>I12-I10</f>
        <v>2.7384259259259247E-2</v>
      </c>
      <c r="K12" s="242">
        <f>J12+K8</f>
        <v>5.07986111111111E-2</v>
      </c>
      <c r="L12" s="273">
        <f t="shared" si="1"/>
        <v>0.60117647058823565</v>
      </c>
      <c r="M12" s="47">
        <f>AVERAGE(L12,L8)</f>
        <v>0.71384910485933517</v>
      </c>
      <c r="N12" s="2" t="s">
        <v>54</v>
      </c>
    </row>
    <row r="13" spans="1:14" s="2" customFormat="1" ht="30" hidden="1" customHeight="1">
      <c r="A13" s="523"/>
      <c r="B13" s="183">
        <v>7</v>
      </c>
      <c r="C13" s="88"/>
      <c r="D13" s="88"/>
      <c r="E13" s="105"/>
      <c r="F13" s="151"/>
      <c r="G13" s="88"/>
      <c r="H13" s="88"/>
      <c r="I13" s="226"/>
      <c r="J13" s="226"/>
      <c r="K13" s="242"/>
      <c r="L13" s="27"/>
      <c r="M13" s="47"/>
    </row>
    <row r="14" spans="1:14" s="2" customFormat="1" ht="30" customHeight="1" thickBot="1">
      <c r="A14" s="523"/>
      <c r="B14" s="184" t="s">
        <v>13</v>
      </c>
      <c r="C14" s="109" t="s">
        <v>121</v>
      </c>
      <c r="D14" s="109">
        <v>12</v>
      </c>
      <c r="E14" s="206">
        <v>40.65</v>
      </c>
      <c r="F14" s="113">
        <f>(42.27+40.78+40.68+40.65+41.19+40.67+40.88+41.49+41.07+41.31+41.27+41.17+41.02+41.09+40.67+40.76+41.01+41.22+41.55+41.03+41.02+41.64+41.23+41.03+42.23+43.69)/26</f>
        <v>41.254615384615377</v>
      </c>
      <c r="G14" s="109">
        <v>338</v>
      </c>
      <c r="H14" s="109">
        <f>G14-G12</f>
        <v>27</v>
      </c>
      <c r="I14" s="224">
        <v>0.16748842592592594</v>
      </c>
      <c r="J14" s="224">
        <f>I14-I12</f>
        <v>1.2453703703703717E-2</v>
      </c>
      <c r="K14" s="231">
        <f>J14+K9</f>
        <v>6.4432870370370376E-2</v>
      </c>
      <c r="L14" s="42">
        <f t="shared" si="1"/>
        <v>0.60461538461537856</v>
      </c>
      <c r="M14" s="217">
        <f>AVERAGE(L14,L9,L6)</f>
        <v>0.54842902857608544</v>
      </c>
      <c r="N14" s="2" t="s">
        <v>51</v>
      </c>
    </row>
    <row r="15" spans="1:14" ht="16.5" thickBot="1">
      <c r="A15" s="524"/>
      <c r="B15" s="565"/>
      <c r="C15" s="566"/>
      <c r="D15" s="567"/>
      <c r="E15" s="249">
        <f>AVERAGE(E6:E14)</f>
        <v>40.384999999999998</v>
      </c>
      <c r="F15" s="250">
        <f>AVERAGE(F6:F14)</f>
        <v>40.969167408746848</v>
      </c>
      <c r="G15" s="234"/>
      <c r="H15" s="234"/>
      <c r="I15" s="234"/>
      <c r="J15" s="234"/>
      <c r="K15" s="234"/>
      <c r="L15" s="234"/>
      <c r="M15" s="10"/>
    </row>
    <row r="17" spans="1:1">
      <c r="A17" s="147"/>
    </row>
    <row r="18" spans="1:1" ht="15.75">
      <c r="A18" s="26"/>
    </row>
  </sheetData>
  <mergeCells count="21">
    <mergeCell ref="A1:M1"/>
    <mergeCell ref="A3:M3"/>
    <mergeCell ref="H4:H5"/>
    <mergeCell ref="L4:M4"/>
    <mergeCell ref="I4:I5"/>
    <mergeCell ref="K10:K11"/>
    <mergeCell ref="A6:A15"/>
    <mergeCell ref="B15:D15"/>
    <mergeCell ref="J4:K4"/>
    <mergeCell ref="A4:A5"/>
    <mergeCell ref="B4:B5"/>
    <mergeCell ref="C4:C5"/>
    <mergeCell ref="D4:D5"/>
    <mergeCell ref="E4:E5"/>
    <mergeCell ref="F4:F5"/>
    <mergeCell ref="G4:G5"/>
    <mergeCell ref="B10:B11"/>
    <mergeCell ref="C10:C11"/>
    <mergeCell ref="H10:H11"/>
    <mergeCell ref="J10:J11"/>
    <mergeCell ref="I10:I11"/>
  </mergeCells>
  <phoneticPr fontId="0" type="noConversion"/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Вспомогательный</vt:lpstr>
      <vt:lpstr>Финики </vt:lpstr>
      <vt:lpstr>Ай Молодець!</vt:lpstr>
      <vt:lpstr>Ну погоди!</vt:lpstr>
      <vt:lpstr>Чпок Тим</vt:lpstr>
      <vt:lpstr>Mad Snails team</vt:lpstr>
      <vt:lpstr>M&amp;M`s</vt:lpstr>
      <vt:lpstr>ББМ</vt:lpstr>
      <vt:lpstr>Незнайки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2014-09-07T14:15:51Z</cp:lastPrinted>
  <dcterms:created xsi:type="dcterms:W3CDTF">2012-07-06T15:34:01Z</dcterms:created>
  <dcterms:modified xsi:type="dcterms:W3CDTF">2014-09-07T15:26:32Z</dcterms:modified>
</cp:coreProperties>
</file>