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75" windowWidth="15480" windowHeight="8985" tabRatio="857" firstSheet="1" activeTab="1"/>
  </bookViews>
  <sheets>
    <sheet name="Регистрация" sheetId="31" r:id="rId1"/>
    <sheet name="Общие результаты" sheetId="24" r:id="rId2"/>
    <sheet name="Лучшие отрезки" sheetId="28" r:id="rId3"/>
    <sheet name="ЛК по картам" sheetId="32" r:id="rId4"/>
    <sheet name="Выбор картов" sheetId="30" r:id="rId5"/>
    <sheet name="Ну погоди!" sheetId="15" r:id="rId6"/>
    <sheet name="Чпок Тим" sheetId="14" r:id="rId7"/>
    <sheet name="Ай Молодець!" sheetId="17" r:id="rId8"/>
    <sheet name="Финики " sheetId="16" r:id="rId9"/>
    <sheet name="M&amp;M`s" sheetId="19" r:id="rId10"/>
    <sheet name="Mad Snails team" sheetId="20" r:id="rId11"/>
    <sheet name="Бандеровцы " sheetId="18" r:id="rId12"/>
    <sheet name="Незнайки" sheetId="22" r:id="rId13"/>
    <sheet name="Вспомогательный" sheetId="27" r:id="rId14"/>
  </sheets>
  <definedNames>
    <definedName name="_xlnm._FilterDatabase" localSheetId="13" hidden="1">Вспомогательный!$B$2:$H$2</definedName>
    <definedName name="_xlnm._FilterDatabase" localSheetId="3" hidden="1">'ЛК по картам'!$B$5:$E$21</definedName>
    <definedName name="_xlnm._FilterDatabase" localSheetId="2" hidden="1">'Лучшие отрезки'!$B$5:$E$21</definedName>
  </definedNames>
  <calcPr calcId="125725"/>
</workbook>
</file>

<file path=xl/calcChain.xml><?xml version="1.0" encoding="utf-8"?>
<calcChain xmlns="http://schemas.openxmlformats.org/spreadsheetml/2006/main">
  <c r="F13" i="19"/>
  <c r="F13" i="17"/>
  <c r="F12" i="30" l="1"/>
  <c r="F11"/>
  <c r="F10"/>
  <c r="F9"/>
  <c r="F8"/>
  <c r="F7"/>
  <c r="F6"/>
  <c r="F5"/>
  <c r="E7" i="32"/>
  <c r="K19"/>
  <c r="E10"/>
  <c r="K16"/>
  <c r="E16"/>
  <c r="K10"/>
  <c r="K13"/>
  <c r="K7"/>
  <c r="E19"/>
  <c r="K22"/>
  <c r="E13"/>
  <c r="E22"/>
  <c r="F13" i="30" l="1"/>
  <c r="P7" s="1"/>
  <c r="F41" i="27"/>
  <c r="F30"/>
  <c r="F60"/>
  <c r="F66"/>
  <c r="F39"/>
  <c r="F35"/>
  <c r="F54"/>
  <c r="F65"/>
  <c r="F29"/>
  <c r="F10"/>
  <c r="F13"/>
  <c r="F46"/>
  <c r="F40"/>
  <c r="F45"/>
  <c r="F33"/>
  <c r="F19"/>
  <c r="F42"/>
  <c r="F55"/>
  <c r="F47"/>
  <c r="F5"/>
  <c r="F24"/>
  <c r="F53"/>
  <c r="F58"/>
  <c r="F48"/>
  <c r="F14"/>
  <c r="F18"/>
  <c r="F34"/>
  <c r="F28"/>
  <c r="F63"/>
  <c r="F12"/>
  <c r="F6"/>
  <c r="F57"/>
  <c r="F3"/>
  <c r="F51"/>
  <c r="F43"/>
  <c r="F50"/>
  <c r="F56"/>
  <c r="F16"/>
  <c r="F8"/>
  <c r="F49"/>
  <c r="F32"/>
  <c r="F22"/>
  <c r="F38"/>
  <c r="F7"/>
  <c r="F23"/>
  <c r="F26"/>
  <c r="F21"/>
  <c r="F31"/>
  <c r="F52"/>
  <c r="F27"/>
  <c r="F59"/>
  <c r="F61"/>
  <c r="F15"/>
  <c r="F25"/>
  <c r="F64"/>
  <c r="F36"/>
  <c r="F20"/>
  <c r="F62"/>
  <c r="F9"/>
  <c r="F17"/>
  <c r="F44"/>
  <c r="F4"/>
  <c r="F37"/>
  <c r="F11"/>
  <c r="F6" i="22"/>
  <c r="F6" i="18"/>
  <c r="F6" i="20"/>
  <c r="F6" i="19"/>
  <c r="F6" i="16"/>
  <c r="F6" i="14"/>
  <c r="F6" i="15"/>
  <c r="L6" s="1"/>
  <c r="F6" i="17"/>
  <c r="L6" s="1"/>
  <c r="F13" i="22"/>
  <c r="F12"/>
  <c r="L12" s="1"/>
  <c r="F11"/>
  <c r="F10"/>
  <c r="F9"/>
  <c r="F8"/>
  <c r="F7"/>
  <c r="J12"/>
  <c r="H12"/>
  <c r="F13" i="18"/>
  <c r="F12"/>
  <c r="F11"/>
  <c r="F10"/>
  <c r="F9"/>
  <c r="F8"/>
  <c r="F7"/>
  <c r="H6"/>
  <c r="F13" i="20"/>
  <c r="F12"/>
  <c r="F11"/>
  <c r="F10"/>
  <c r="F9"/>
  <c r="F8"/>
  <c r="F7"/>
  <c r="F12" i="19"/>
  <c r="F11"/>
  <c r="F10"/>
  <c r="F9"/>
  <c r="F8"/>
  <c r="F7"/>
  <c r="F13" i="16"/>
  <c r="F12"/>
  <c r="F11"/>
  <c r="F10"/>
  <c r="F9"/>
  <c r="F8"/>
  <c r="F7"/>
  <c r="F12" i="17"/>
  <c r="F11"/>
  <c r="F10"/>
  <c r="F9"/>
  <c r="F8"/>
  <c r="F7"/>
  <c r="F13" i="14"/>
  <c r="F12"/>
  <c r="F11"/>
  <c r="F10"/>
  <c r="F9"/>
  <c r="F8"/>
  <c r="F7"/>
  <c r="F13" i="15"/>
  <c r="F12"/>
  <c r="F10"/>
  <c r="F11"/>
  <c r="F9"/>
  <c r="F8"/>
  <c r="F7"/>
  <c r="L7" s="1"/>
  <c r="J13" i="22"/>
  <c r="H13"/>
  <c r="J7" i="20"/>
  <c r="J7" i="15"/>
  <c r="J8"/>
  <c r="J9"/>
  <c r="J10"/>
  <c r="J11"/>
  <c r="I36" i="30"/>
  <c r="F36"/>
  <c r="I35"/>
  <c r="F35"/>
  <c r="I34"/>
  <c r="F34"/>
  <c r="I33"/>
  <c r="F33"/>
  <c r="I32"/>
  <c r="F32"/>
  <c r="I31"/>
  <c r="F31"/>
  <c r="I30"/>
  <c r="F30"/>
  <c r="I29"/>
  <c r="F29"/>
  <c r="L24"/>
  <c r="I24"/>
  <c r="F24"/>
  <c r="L23"/>
  <c r="I23"/>
  <c r="F23"/>
  <c r="L22"/>
  <c r="I22"/>
  <c r="F22"/>
  <c r="L21"/>
  <c r="I21"/>
  <c r="F21"/>
  <c r="L20"/>
  <c r="I20"/>
  <c r="F20"/>
  <c r="L19"/>
  <c r="I19"/>
  <c r="F19"/>
  <c r="L18"/>
  <c r="I18"/>
  <c r="F18"/>
  <c r="B17"/>
  <c r="L17"/>
  <c r="I17"/>
  <c r="F17"/>
  <c r="L12"/>
  <c r="I12"/>
  <c r="L11"/>
  <c r="I11"/>
  <c r="L10"/>
  <c r="I10"/>
  <c r="L9"/>
  <c r="I9"/>
  <c r="L8"/>
  <c r="I8"/>
  <c r="L7"/>
  <c r="I7"/>
  <c r="L6"/>
  <c r="I6"/>
  <c r="L5"/>
  <c r="I5"/>
  <c r="I13" l="1"/>
  <c r="P9" s="1"/>
  <c r="I25"/>
  <c r="P13" s="1"/>
  <c r="F37"/>
  <c r="P19" s="1"/>
  <c r="L13"/>
  <c r="P11" s="1"/>
  <c r="F25"/>
  <c r="P15" s="1"/>
  <c r="L25"/>
  <c r="P17" s="1"/>
  <c r="I37"/>
  <c r="P21" s="1"/>
  <c r="Q15" l="1"/>
  <c r="Q13"/>
  <c r="Q21"/>
  <c r="Q17"/>
  <c r="Q9"/>
  <c r="Q11"/>
  <c r="Q19"/>
  <c r="H11" i="22" l="1"/>
  <c r="H10"/>
  <c r="H9"/>
  <c r="H8"/>
  <c r="H7"/>
  <c r="H6"/>
  <c r="H13" i="20"/>
  <c r="H12"/>
  <c r="H11"/>
  <c r="H10"/>
  <c r="H9"/>
  <c r="H8"/>
  <c r="H7"/>
  <c r="H6"/>
  <c r="H13" i="18"/>
  <c r="H12"/>
  <c r="H11"/>
  <c r="H10"/>
  <c r="H9"/>
  <c r="H8"/>
  <c r="H7"/>
  <c r="H13" i="14"/>
  <c r="H12"/>
  <c r="H11"/>
  <c r="H10"/>
  <c r="H9"/>
  <c r="H8"/>
  <c r="H7"/>
  <c r="H6"/>
  <c r="H13" i="17"/>
  <c r="H12"/>
  <c r="H11"/>
  <c r="H10"/>
  <c r="H9"/>
  <c r="H8"/>
  <c r="H7"/>
  <c r="H6"/>
  <c r="H13" i="19"/>
  <c r="H12"/>
  <c r="H11"/>
  <c r="H10"/>
  <c r="H9"/>
  <c r="H8"/>
  <c r="H7"/>
  <c r="H6"/>
  <c r="H13" i="15"/>
  <c r="H12"/>
  <c r="H11"/>
  <c r="H10"/>
  <c r="H9"/>
  <c r="H8"/>
  <c r="H7"/>
  <c r="H6"/>
  <c r="H13" i="16"/>
  <c r="H12"/>
  <c r="H11"/>
  <c r="H10"/>
  <c r="H9"/>
  <c r="H8"/>
  <c r="H7"/>
  <c r="H6"/>
  <c r="L11" i="22"/>
  <c r="L6"/>
  <c r="J12" i="14"/>
  <c r="L13" i="22"/>
  <c r="L10"/>
  <c r="E14"/>
  <c r="J11"/>
  <c r="J10"/>
  <c r="J9"/>
  <c r="L9"/>
  <c r="J8"/>
  <c r="L8"/>
  <c r="J7"/>
  <c r="K7" s="1"/>
  <c r="L7"/>
  <c r="J6"/>
  <c r="K6" s="1"/>
  <c r="M13" l="1"/>
  <c r="M12"/>
  <c r="K8"/>
  <c r="K10" s="1"/>
  <c r="K12" s="1"/>
  <c r="K9"/>
  <c r="K11" s="1"/>
  <c r="F14"/>
  <c r="L13" i="20"/>
  <c r="L12"/>
  <c r="L11"/>
  <c r="L6"/>
  <c r="E14"/>
  <c r="J13"/>
  <c r="J12"/>
  <c r="J11"/>
  <c r="L10"/>
  <c r="J10"/>
  <c r="L9"/>
  <c r="J9"/>
  <c r="J8"/>
  <c r="L7"/>
  <c r="K7"/>
  <c r="J6"/>
  <c r="K6" s="1"/>
  <c r="L13" i="19"/>
  <c r="L12"/>
  <c r="L11"/>
  <c r="L10"/>
  <c r="E14"/>
  <c r="J13"/>
  <c r="J12"/>
  <c r="J11"/>
  <c r="J10"/>
  <c r="L9"/>
  <c r="J9"/>
  <c r="J8"/>
  <c r="L7"/>
  <c r="J7"/>
  <c r="K7" s="1"/>
  <c r="L6"/>
  <c r="J6"/>
  <c r="K6" s="1"/>
  <c r="K8" s="1"/>
  <c r="L13" i="18"/>
  <c r="L12"/>
  <c r="L11"/>
  <c r="L10"/>
  <c r="L6"/>
  <c r="E14"/>
  <c r="J13"/>
  <c r="J12"/>
  <c r="J11"/>
  <c r="J10"/>
  <c r="L9"/>
  <c r="J9"/>
  <c r="J8"/>
  <c r="L7"/>
  <c r="J7"/>
  <c r="K7" s="1"/>
  <c r="J6"/>
  <c r="K6" s="1"/>
  <c r="L13" i="17"/>
  <c r="L12"/>
  <c r="L11"/>
  <c r="L10"/>
  <c r="L9"/>
  <c r="L8"/>
  <c r="L7"/>
  <c r="E14"/>
  <c r="J13"/>
  <c r="J12"/>
  <c r="J11"/>
  <c r="J10"/>
  <c r="J9"/>
  <c r="J8"/>
  <c r="J7"/>
  <c r="K7" s="1"/>
  <c r="J6"/>
  <c r="K6" s="1"/>
  <c r="L13" i="16"/>
  <c r="L12"/>
  <c r="L10"/>
  <c r="E14"/>
  <c r="J13"/>
  <c r="J12"/>
  <c r="J11"/>
  <c r="L11"/>
  <c r="J10"/>
  <c r="J9"/>
  <c r="L9"/>
  <c r="J8"/>
  <c r="L8"/>
  <c r="J7"/>
  <c r="K7" s="1"/>
  <c r="L7"/>
  <c r="J6"/>
  <c r="K6" s="1"/>
  <c r="K7" i="15"/>
  <c r="L13"/>
  <c r="L11"/>
  <c r="F14"/>
  <c r="E14"/>
  <c r="J13"/>
  <c r="J12"/>
  <c r="L12"/>
  <c r="L10"/>
  <c r="L9"/>
  <c r="L8"/>
  <c r="J6"/>
  <c r="K6" s="1"/>
  <c r="L12" i="14"/>
  <c r="J13"/>
  <c r="L11"/>
  <c r="L8"/>
  <c r="L7"/>
  <c r="E14"/>
  <c r="L13"/>
  <c r="J11"/>
  <c r="J10"/>
  <c r="L10"/>
  <c r="J9"/>
  <c r="L9"/>
  <c r="J8"/>
  <c r="J7"/>
  <c r="K7" s="1"/>
  <c r="J6"/>
  <c r="K6" s="1"/>
  <c r="K8" s="1"/>
  <c r="K8" i="17" l="1"/>
  <c r="M12"/>
  <c r="K10" i="19"/>
  <c r="K12" s="1"/>
  <c r="K9"/>
  <c r="K11" s="1"/>
  <c r="M12" i="20"/>
  <c r="K13" i="22"/>
  <c r="M13" i="18"/>
  <c r="M13" i="19"/>
  <c r="K13"/>
  <c r="M12" i="16"/>
  <c r="M13" i="17"/>
  <c r="K9" i="14"/>
  <c r="K10"/>
  <c r="K12" s="1"/>
  <c r="M12" i="15"/>
  <c r="M13" i="14"/>
  <c r="K9" i="15"/>
  <c r="K10" s="1"/>
  <c r="K12" s="1"/>
  <c r="K9" i="17"/>
  <c r="K11" s="1"/>
  <c r="K12" s="1"/>
  <c r="K8" i="16"/>
  <c r="K11" s="1"/>
  <c r="K13" s="1"/>
  <c r="K9"/>
  <c r="K10" s="1"/>
  <c r="K12" s="1"/>
  <c r="K10" i="17"/>
  <c r="K13" s="1"/>
  <c r="K8" i="15"/>
  <c r="K11" s="1"/>
  <c r="K13" s="1"/>
  <c r="F14" i="20"/>
  <c r="L8"/>
  <c r="M13" s="1"/>
  <c r="K9"/>
  <c r="K11" s="1"/>
  <c r="K13" s="1"/>
  <c r="K8"/>
  <c r="K10" s="1"/>
  <c r="K12" s="1"/>
  <c r="F14" i="19"/>
  <c r="L8"/>
  <c r="M12" s="1"/>
  <c r="F14" i="18"/>
  <c r="L8"/>
  <c r="M12" s="1"/>
  <c r="K8"/>
  <c r="K10" s="1"/>
  <c r="K12" s="1"/>
  <c r="K9"/>
  <c r="K11" s="1"/>
  <c r="K13" s="1"/>
  <c r="F14" i="17"/>
  <c r="F14" i="16"/>
  <c r="F14" i="14"/>
  <c r="L6" i="16"/>
  <c r="M13" s="1"/>
  <c r="M13" i="15"/>
  <c r="K11" i="14"/>
  <c r="K13" s="1"/>
  <c r="L6"/>
  <c r="M12" s="1"/>
</calcChain>
</file>

<file path=xl/sharedStrings.xml><?xml version="1.0" encoding="utf-8"?>
<sst xmlns="http://schemas.openxmlformats.org/spreadsheetml/2006/main" count="774" uniqueCount="190">
  <si>
    <t>всего у пилота</t>
  </si>
  <si>
    <t>отрезок</t>
  </si>
  <si>
    <t>Пилот</t>
  </si>
  <si>
    <t>Команда</t>
  </si>
  <si>
    <t>Контрольная таблица пит стопов команд</t>
  </si>
  <si>
    <t>Карт №</t>
  </si>
  <si>
    <t>КОМАНДА</t>
  </si>
  <si>
    <t>№ пит стопа</t>
  </si>
  <si>
    <t>№</t>
  </si>
  <si>
    <t>№ ком</t>
  </si>
  <si>
    <t>Вес</t>
  </si>
  <si>
    <t>Регистрационная форма</t>
  </si>
  <si>
    <t>Довес</t>
  </si>
  <si>
    <t>Финиш</t>
  </si>
  <si>
    <t>Время на трассе (мин)</t>
  </si>
  <si>
    <t>Чпок Тим</t>
  </si>
  <si>
    <t>Бахмацкий Олег</t>
  </si>
  <si>
    <t>Финики</t>
  </si>
  <si>
    <t>Бандеровцы</t>
  </si>
  <si>
    <t>Шендрик Влад</t>
  </si>
  <si>
    <t>Петушков Андрей</t>
  </si>
  <si>
    <t>Тыщенко Миша</t>
  </si>
  <si>
    <t>Хавило Дима</t>
  </si>
  <si>
    <t>Горошко Игорь</t>
  </si>
  <si>
    <t>Наум</t>
  </si>
  <si>
    <t>Голубченко Саша</t>
  </si>
  <si>
    <t>Манило Денис</t>
  </si>
  <si>
    <t>Пикулин Паша</t>
  </si>
  <si>
    <t>2-1</t>
  </si>
  <si>
    <t>2-2</t>
  </si>
  <si>
    <t>3-1</t>
  </si>
  <si>
    <t>3-2</t>
  </si>
  <si>
    <t>4-1</t>
  </si>
  <si>
    <t>4-2</t>
  </si>
  <si>
    <t>5-1</t>
  </si>
  <si>
    <t>5-2</t>
  </si>
  <si>
    <t>7-1</t>
  </si>
  <si>
    <t>7-2</t>
  </si>
  <si>
    <t>8-1</t>
  </si>
  <si>
    <t>8-2</t>
  </si>
  <si>
    <t>-</t>
  </si>
  <si>
    <t>Место</t>
  </si>
  <si>
    <t>№ в гонке</t>
  </si>
  <si>
    <t>Квала</t>
  </si>
  <si>
    <t>Гонка</t>
  </si>
  <si>
    <t>Лучший круг в гонке</t>
  </si>
  <si>
    <t>Время</t>
  </si>
  <si>
    <t>Круги</t>
  </si>
  <si>
    <t>Время/от лидера</t>
  </si>
  <si>
    <t>На круге</t>
  </si>
  <si>
    <t>НУ, ПОГОДИ!</t>
  </si>
  <si>
    <t>ФИНИКИ</t>
  </si>
  <si>
    <t>MED SNAILS TEAM</t>
  </si>
  <si>
    <t>БАНДЕРОВЦЫ</t>
  </si>
  <si>
    <t>2 круга</t>
  </si>
  <si>
    <t>Сред. время круга на отрезке (без пита и поломок)</t>
  </si>
  <si>
    <t>Общее время гонки (на часах)</t>
  </si>
  <si>
    <t>Олег</t>
  </si>
  <si>
    <t>Игорь</t>
  </si>
  <si>
    <t>Андрей</t>
  </si>
  <si>
    <t>Дима</t>
  </si>
  <si>
    <t>M&amp;M`s</t>
  </si>
  <si>
    <t>Саша</t>
  </si>
  <si>
    <t>Денис</t>
  </si>
  <si>
    <t>5</t>
  </si>
  <si>
    <t>11</t>
  </si>
  <si>
    <t>Пикулин Павел</t>
  </si>
  <si>
    <t>Ткаченко Сергей</t>
  </si>
  <si>
    <t>3</t>
  </si>
  <si>
    <t>Незнайки</t>
  </si>
  <si>
    <t>Кочмарев Юра</t>
  </si>
  <si>
    <t>НЛО</t>
  </si>
  <si>
    <t>MST</t>
  </si>
  <si>
    <t>НЕЗНАЙКИ</t>
  </si>
  <si>
    <t>Сергей</t>
  </si>
  <si>
    <t>Лучший круг</t>
  </si>
  <si>
    <t>Круг заезда на пит</t>
  </si>
  <si>
    <t>Кругов на отрезке</t>
  </si>
  <si>
    <t>Стабильность пилота</t>
  </si>
  <si>
    <t>на отрезке</t>
  </si>
  <si>
    <t>в гонке</t>
  </si>
  <si>
    <t>Ну, Погоди!</t>
  </si>
  <si>
    <t>№ п/п</t>
  </si>
  <si>
    <t>ЛК</t>
  </si>
  <si>
    <t>Ср. круг</t>
  </si>
  <si>
    <t>Стабил-ть</t>
  </si>
  <si>
    <t>Карт</t>
  </si>
  <si>
    <t>Кругов</t>
  </si>
  <si>
    <t>M&amp;M's</t>
  </si>
  <si>
    <t>Mad Snails Team</t>
  </si>
  <si>
    <t>Лучшие круги в гонке на отрезках, топ 15</t>
  </si>
  <si>
    <t>Лучшие отрезки (средний круг), топ 15</t>
  </si>
  <si>
    <t>Лучшая стабильность* на отрезке, топ 15</t>
  </si>
  <si>
    <t>Средний круг</t>
  </si>
  <si>
    <t>Стабиль-ность</t>
  </si>
  <si>
    <t>Лучший круг пилота в своей команде</t>
  </si>
  <si>
    <t>Лучший круг у данного пилота за гонку</t>
  </si>
  <si>
    <t>* считается как разница между средним и лучшим кругом</t>
  </si>
  <si>
    <t>Средний ЛК</t>
  </si>
  <si>
    <t>Рейтинг картов</t>
  </si>
  <si>
    <t>Результат</t>
  </si>
  <si>
    <t>Карты</t>
  </si>
  <si>
    <t>Отрезки</t>
  </si>
  <si>
    <t>Потери</t>
  </si>
  <si>
    <t>Потери от лидера</t>
  </si>
  <si>
    <t>Всего, сек</t>
  </si>
  <si>
    <t>Среднее</t>
  </si>
  <si>
    <t>Стецык Сергей</t>
  </si>
  <si>
    <t>Дио</t>
  </si>
  <si>
    <t>Курош</t>
  </si>
  <si>
    <t>Члечко Сергей</t>
  </si>
  <si>
    <t>3 круга</t>
  </si>
  <si>
    <t>4 круга</t>
  </si>
  <si>
    <t>Успешность стратегии команд в выборе картов на 3-м этапе Сорвиголов (на основании ЛК по картам)</t>
  </si>
  <si>
    <t>Павел</t>
  </si>
  <si>
    <t>Марафон-чемпионат "Сорвиголовы 2014", 4-й этап</t>
  </si>
  <si>
    <t>1-1</t>
  </si>
  <si>
    <t>59</t>
  </si>
  <si>
    <t>21</t>
  </si>
  <si>
    <t>80</t>
  </si>
  <si>
    <t>1-2</t>
  </si>
  <si>
    <t>75</t>
  </si>
  <si>
    <t>66</t>
  </si>
  <si>
    <t>14</t>
  </si>
  <si>
    <t>77</t>
  </si>
  <si>
    <t>Ну погоди</t>
  </si>
  <si>
    <t>6-1</t>
  </si>
  <si>
    <t>76</t>
  </si>
  <si>
    <t>4</t>
  </si>
  <si>
    <t>63</t>
  </si>
  <si>
    <t>17</t>
  </si>
  <si>
    <t>6-2</t>
  </si>
  <si>
    <t>Незнайка</t>
  </si>
  <si>
    <t>99</t>
  </si>
  <si>
    <t>87</t>
  </si>
  <si>
    <t>81</t>
  </si>
  <si>
    <t>Ай молодець</t>
  </si>
  <si>
    <t>69</t>
  </si>
  <si>
    <t>ЧПОК ТИМ</t>
  </si>
  <si>
    <t>4:00:21.84</t>
  </si>
  <si>
    <t>8 кругов</t>
  </si>
  <si>
    <t>Влад</t>
  </si>
  <si>
    <t>Миша</t>
  </si>
  <si>
    <t>Юра</t>
  </si>
  <si>
    <t>11/12</t>
  </si>
  <si>
    <t>21/9</t>
  </si>
  <si>
    <t xml:space="preserve">недоехал </t>
  </si>
  <si>
    <t>переехал</t>
  </si>
  <si>
    <t>недоехал</t>
  </si>
  <si>
    <t>Марафон "Сорвиголовы 2014", 10.08.14</t>
  </si>
  <si>
    <t>РЕЗУЛЬТАТЫ марафона "Сорвиголовы 2014", 4-й этап, 10.08.14</t>
  </si>
  <si>
    <t>Конфигурация #5</t>
  </si>
  <si>
    <t>ЧПОК тим</t>
  </si>
  <si>
    <t>Ай, молодець!</t>
  </si>
  <si>
    <t>Лучшие круги по картам, топ 3</t>
  </si>
  <si>
    <t>Причем вполне пристойное время лучшего круга, показанное на быстрых картах более</t>
  </si>
  <si>
    <t>Ни одной команде не удалось проехать больше 5 отрезков из 8 на картах 1-й группы.</t>
  </si>
  <si>
    <t>Это в первую очередь показывает усиление конкуренции между командами в</t>
  </si>
  <si>
    <t>планировании и своевременном осуществлении пит стопов.</t>
  </si>
  <si>
    <t>Во 2-й группе также 6 картов - №14, 13, 5, 12, 11, 15 - с отставанием от быстрейших картов на 0,4-0,6 сек.</t>
  </si>
  <si>
    <t>Именно на картах этой группы статистическая выборка намного шире. Команды старались</t>
  </si>
  <si>
    <t>В целом, как мне кажется, примерно таким и должен быть идеальный разброс в уровне картов.</t>
  </si>
  <si>
    <t>Достаточно много конкурентноспособных машин, а те, что помедленней, оставляют шансы на борьбу.</t>
  </si>
  <si>
    <t>Разве что для идеала хотелось бы, чтобы 2-я группа картов отставала чуть меньше - на 0,3-0,5 сек.</t>
  </si>
  <si>
    <t>Ай, Молодець!</t>
  </si>
  <si>
    <t>не доехал</t>
  </si>
  <si>
    <t>Тройка лидеров попала в интервал 7 секунд, а все команды, кромы Незнаек, проиграли в стратегии не более 1 круга.</t>
  </si>
  <si>
    <t xml:space="preserve">Что интересно, впервые места команд в гонке строго соответсвуют успешности в стратегии за одним исключением - </t>
  </si>
  <si>
    <t>лишь M&amp;M's  и Финики поменялись местами.</t>
  </si>
  <si>
    <t>Последние кстати показали худший результат по количеству отрезков на быстрейших картах - всего 3 из 8.</t>
  </si>
  <si>
    <t>Правда им удавалось быстро сбрасывать медленные карты, и потому общий проигрыш в стратегии не такой и большой.</t>
  </si>
  <si>
    <r>
      <rPr>
        <b/>
        <sz val="14"/>
        <color theme="1"/>
        <rFont val="Calibri"/>
        <family val="2"/>
        <charset val="204"/>
        <scheme val="minor"/>
      </rPr>
      <t>Топ 15 лучших кругов показаны на 6 разных картах</t>
    </r>
    <r>
      <rPr>
        <sz val="14"/>
        <color theme="1"/>
        <rFont val="Calibri"/>
        <family val="2"/>
        <charset val="204"/>
        <scheme val="minor"/>
      </rPr>
      <t>. При этом карт №1 представлен 4 раза, карт №2 - 3 раза, остальные карты - по 2 раза.</t>
    </r>
  </si>
  <si>
    <r>
      <t xml:space="preserve">В то же время в списке целых 10 пилотов из 6-и команд. Нельзя не отметить великолепный результат </t>
    </r>
    <r>
      <rPr>
        <u/>
        <sz val="14"/>
        <color theme="1"/>
        <rFont val="Calibri"/>
        <family val="2"/>
        <charset val="204"/>
        <scheme val="minor"/>
      </rPr>
      <t>Игоря Горошко - он всеми свои 4-мя отрезками попал в Топ10 (!)</t>
    </r>
    <r>
      <rPr>
        <sz val="14"/>
        <color theme="1"/>
        <rFont val="Calibri"/>
        <family val="2"/>
        <charset val="204"/>
        <scheme val="minor"/>
      </rPr>
      <t>.</t>
    </r>
  </si>
  <si>
    <r>
      <t xml:space="preserve">Интересно, что </t>
    </r>
    <r>
      <rPr>
        <b/>
        <sz val="14"/>
        <color theme="1"/>
        <rFont val="Calibri"/>
        <family val="2"/>
        <charset val="204"/>
        <scheme val="minor"/>
      </rPr>
      <t>Топ 15 лучших отрезков</t>
    </r>
    <r>
      <rPr>
        <sz val="14"/>
        <color theme="1"/>
        <rFont val="Calibri"/>
        <family val="2"/>
        <charset val="204"/>
        <scheme val="minor"/>
      </rPr>
      <t xml:space="preserve"> практически полностью совпадает с Топ 15 лучших кругов, что показывает рост стабильности быстрейших пилотов. </t>
    </r>
  </si>
  <si>
    <t>Лишь Манило Денис вылетел из списка, уступив место феноменальному отрезку Бахмацкого Олега на карте №13 - несмотря на 26 место по ЛК, он сумел попасть в Топ15 по среднему кругу.</t>
  </si>
  <si>
    <r>
      <t xml:space="preserve">5 лучших отрезков в Топ 15 показали </t>
    </r>
    <r>
      <rPr>
        <b/>
        <sz val="14"/>
        <color theme="1"/>
        <rFont val="Calibri"/>
        <family val="2"/>
        <charset val="204"/>
        <scheme val="minor"/>
      </rPr>
      <t xml:space="preserve">Ну, Погоди!, </t>
    </r>
    <r>
      <rPr>
        <sz val="14"/>
        <color theme="1"/>
        <rFont val="Calibri"/>
        <family val="2"/>
        <charset val="204"/>
        <scheme val="minor"/>
      </rPr>
      <t>по 3 - Ай, Молодець! и Финики.</t>
    </r>
    <r>
      <rPr>
        <b/>
        <sz val="14"/>
        <color theme="1"/>
        <rFont val="Calibri"/>
        <family val="2"/>
        <charset val="204"/>
        <scheme val="minor"/>
      </rPr>
      <t/>
    </r>
  </si>
  <si>
    <t>мощность двигателя (разгона и/или максимальной скорости). Ведь если бы проблемными были повороты, ехать одинаково на всем отрезке было бы крайне затруднительно.</t>
  </si>
  <si>
    <r>
      <t xml:space="preserve">Что до стабильности, то здесь картина сильно отличается от предыдущих двух таблиц. Больше половины из </t>
    </r>
    <r>
      <rPr>
        <b/>
        <sz val="14"/>
        <color theme="1"/>
        <rFont val="Calibri"/>
        <family val="2"/>
        <charset val="204"/>
        <scheme val="minor"/>
      </rPr>
      <t>Топ15 самых стабильных отрезков</t>
    </r>
    <r>
      <rPr>
        <sz val="14"/>
        <color theme="1"/>
        <rFont val="Calibri"/>
        <family val="2"/>
        <charset val="204"/>
        <scheme val="minor"/>
      </rPr>
      <t xml:space="preserve"> показано на картах 2-й группы. </t>
    </r>
  </si>
  <si>
    <t>Самой стабильной командой стала Чпок Тим (представлены в Топ15 4 раза, причем каждый из пилотов дважды). Вероятно, это стало одним из основных факторов их успешного выступления.</t>
  </si>
  <si>
    <t>По три раза в таблице представлены остальные призеры этапа - Ну, Погоди! и Ай, молодець! (последние все три раза одним пилотом).</t>
  </si>
  <si>
    <t>Вторым стал Игорь Горошко (0,317), а третье место с разбросом в тысячные разделили Влад Шендрик, Сергей Стецык и Сергей Члечко (0,33Х).</t>
  </si>
  <si>
    <r>
      <t xml:space="preserve">Опять-таки, 5 из 6 пилотов команд-призеров. Похоже, на этом этапе </t>
    </r>
    <r>
      <rPr>
        <b/>
        <sz val="14"/>
        <color theme="1"/>
        <rFont val="Calibri"/>
        <family val="2"/>
        <charset val="204"/>
        <scheme val="minor"/>
      </rPr>
      <t>стабильность стала если не ключевой, то крайне важной составляющей общего успеха.</t>
    </r>
  </si>
  <si>
    <t>4-й этап показал усиление конкуренции и, как следствие, выравнивание результатов команд в стратегии пит стопов.</t>
  </si>
  <si>
    <t xml:space="preserve">Именно Дио стал самым стабильным пилотом в гонке и единственным, чей разброс времен круга стал меньшим 0,3 сек (0,280). </t>
  </si>
  <si>
    <t>АЙ, МОЛОДЕЦЬ!</t>
  </si>
  <si>
    <t xml:space="preserve">Это говорит о том, что одинаково быстро на всем протяжении отрезка проще было ехать на более медленных картах. А значит, основная проблема недостатка скорости у таких картов - </t>
  </si>
  <si>
    <t xml:space="preserve">На 4-м этапе карты достаточно явно разбились на 2 группы - по 6 картов в каждой.  </t>
  </si>
  <si>
    <t>слабой группы, не отражает в полной мере нежелание команд получать на пите эти машины.</t>
  </si>
  <si>
    <t>В 1-й группе 6 картов - №1, 2, 9, 7, 3 и 21 - с разбросом времен в 0,2 сек.</t>
  </si>
  <si>
    <t>подолгу на них не ехать  и потому пилотов, проехавших на них, намного больше, чем на картах 1-й группы.</t>
  </si>
</sst>
</file>

<file path=xl/styles.xml><?xml version="1.0" encoding="utf-8"?>
<styleSheet xmlns="http://schemas.openxmlformats.org/spreadsheetml/2006/main">
  <numFmts count="3">
    <numFmt numFmtId="164" formatCode="0.000"/>
    <numFmt numFmtId="165" formatCode="[$-F400]h:mm:ss\ AM/PM"/>
    <numFmt numFmtId="166" formatCode="0.0"/>
  </numFmts>
  <fonts count="36">
    <font>
      <sz val="11"/>
      <color theme="1"/>
      <name val="Calibri"/>
      <family val="2"/>
      <charset val="204"/>
      <scheme val="minor"/>
    </font>
    <font>
      <b/>
      <sz val="11"/>
      <color indexed="8"/>
      <name val="Calibri"/>
      <family val="2"/>
      <charset val="204"/>
    </font>
    <font>
      <sz val="12"/>
      <color indexed="8"/>
      <name val="Calibri"/>
      <family val="2"/>
      <charset val="204"/>
    </font>
    <font>
      <strike/>
      <sz val="12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b/>
      <sz val="15"/>
      <color indexed="8"/>
      <name val="Calibri"/>
      <family val="2"/>
      <charset val="204"/>
    </font>
    <font>
      <b/>
      <sz val="20"/>
      <color indexed="8"/>
      <name val="Calibri"/>
      <family val="2"/>
      <charset val="204"/>
    </font>
    <font>
      <b/>
      <sz val="16"/>
      <color indexed="8"/>
      <name val="Calibri"/>
      <family val="2"/>
      <charset val="204"/>
    </font>
    <font>
      <sz val="16"/>
      <color indexed="8"/>
      <name val="Calibri"/>
      <family val="2"/>
      <charset val="204"/>
    </font>
    <font>
      <b/>
      <sz val="15"/>
      <color theme="1"/>
      <name val="Calibri"/>
      <family val="2"/>
      <charset val="204"/>
      <scheme val="minor"/>
    </font>
    <font>
      <b/>
      <sz val="10"/>
      <color indexed="8"/>
      <name val="Calibri"/>
      <family val="2"/>
      <charset val="204"/>
    </font>
    <font>
      <b/>
      <sz val="12"/>
      <color indexed="8"/>
      <name val="Calibri"/>
      <family val="2"/>
      <charset val="204"/>
    </font>
    <font>
      <sz val="9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2"/>
      <color rgb="FFFF0000"/>
      <name val="Calibri"/>
      <family val="2"/>
      <charset val="204"/>
    </font>
    <font>
      <b/>
      <sz val="11"/>
      <color theme="1"/>
      <name val="Calibri"/>
      <family val="2"/>
      <charset val="204"/>
      <scheme val="minor"/>
    </font>
    <font>
      <b/>
      <sz val="13"/>
      <color theme="1"/>
      <name val="Calibri"/>
      <family val="2"/>
      <charset val="204"/>
      <scheme val="minor"/>
    </font>
    <font>
      <sz val="14"/>
      <color indexed="8"/>
      <name val="Calibri"/>
      <family val="2"/>
      <charset val="204"/>
    </font>
    <font>
      <b/>
      <sz val="25"/>
      <color indexed="8"/>
      <name val="Calibri"/>
      <family val="2"/>
      <charset val="204"/>
    </font>
    <font>
      <sz val="12"/>
      <name val="Calibri"/>
      <family val="2"/>
      <charset val="204"/>
    </font>
    <font>
      <b/>
      <sz val="12"/>
      <color theme="1"/>
      <name val="Calibri"/>
      <family val="2"/>
      <charset val="204"/>
      <scheme val="minor"/>
    </font>
    <font>
      <b/>
      <sz val="12"/>
      <name val="Calibri"/>
      <family val="2"/>
      <charset val="204"/>
    </font>
    <font>
      <b/>
      <sz val="18"/>
      <color indexed="8"/>
      <name val="Calibri"/>
      <family val="2"/>
      <charset val="204"/>
    </font>
    <font>
      <b/>
      <sz val="13"/>
      <color indexed="8"/>
      <name val="Calibri"/>
      <family val="2"/>
      <charset val="204"/>
    </font>
    <font>
      <sz val="13"/>
      <color theme="1"/>
      <name val="Calibri"/>
      <family val="2"/>
      <charset val="204"/>
      <scheme val="minor"/>
    </font>
    <font>
      <sz val="13"/>
      <color indexed="8"/>
      <name val="Calibri"/>
      <family val="2"/>
      <charset val="204"/>
    </font>
    <font>
      <b/>
      <sz val="13"/>
      <color rgb="FFFF0000"/>
      <name val="Calibri"/>
      <family val="2"/>
      <charset val="204"/>
    </font>
    <font>
      <b/>
      <sz val="13"/>
      <color rgb="FFFF0000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15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u/>
      <sz val="14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3"/>
      <name val="Calibri"/>
      <family val="2"/>
      <charset val="204"/>
    </font>
    <font>
      <b/>
      <sz val="12"/>
      <name val="Calibri"/>
      <family val="2"/>
      <charset val="204"/>
      <scheme val="minor"/>
    </font>
    <font>
      <sz val="18"/>
      <color indexed="8"/>
      <name val="Calibri"/>
      <family val="2"/>
      <charset val="204"/>
    </font>
  </fonts>
  <fills count="1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CC3399"/>
        <bgColor indexed="64"/>
      </patternFill>
    </fill>
  </fills>
  <borders count="6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6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22" xfId="0" applyFont="1" applyBorder="1" applyAlignment="1">
      <alignment horizontal="center" vertical="center"/>
    </xf>
    <xf numFmtId="0" fontId="0" fillId="0" borderId="14" xfId="0" applyBorder="1" applyAlignment="1">
      <alignment horizontal="left" vertical="center"/>
    </xf>
    <xf numFmtId="0" fontId="0" fillId="0" borderId="5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2" fontId="0" fillId="0" borderId="6" xfId="0" applyNumberFormat="1" applyBorder="1" applyAlignment="1">
      <alignment horizontal="center" vertical="center"/>
    </xf>
    <xf numFmtId="0" fontId="0" fillId="0" borderId="25" xfId="0" applyBorder="1" applyAlignment="1">
      <alignment horizontal="left" vertical="center"/>
    </xf>
    <xf numFmtId="0" fontId="0" fillId="0" borderId="7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/>
    </xf>
    <xf numFmtId="165" fontId="3" fillId="0" borderId="14" xfId="0" applyNumberFormat="1" applyFont="1" applyBorder="1" applyAlignment="1">
      <alignment horizontal="center" vertical="center"/>
    </xf>
    <xf numFmtId="165" fontId="2" fillId="2" borderId="14" xfId="0" applyNumberFormat="1" applyFont="1" applyFill="1" applyBorder="1" applyAlignment="1">
      <alignment horizontal="center" vertical="center"/>
    </xf>
    <xf numFmtId="165" fontId="3" fillId="0" borderId="14" xfId="0" applyNumberFormat="1" applyFont="1" applyFill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164" fontId="2" fillId="0" borderId="18" xfId="0" applyNumberFormat="1" applyFont="1" applyBorder="1" applyAlignment="1">
      <alignment horizontal="center" vertical="center"/>
    </xf>
    <xf numFmtId="0" fontId="12" fillId="0" borderId="0" xfId="0" applyFont="1" applyFill="1" applyAlignment="1">
      <alignment vertical="center" wrapText="1"/>
    </xf>
    <xf numFmtId="0" fontId="13" fillId="0" borderId="8" xfId="0" applyFont="1" applyBorder="1" applyAlignment="1">
      <alignment horizontal="center" vertical="center"/>
    </xf>
    <xf numFmtId="0" fontId="13" fillId="0" borderId="0" xfId="0" applyFont="1"/>
    <xf numFmtId="164" fontId="0" fillId="0" borderId="1" xfId="0" applyNumberForma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65" fontId="2" fillId="0" borderId="3" xfId="0" applyNumberFormat="1" applyFont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1" fillId="0" borderId="10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3" borderId="6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0" xfId="0" applyAlignment="1"/>
    <xf numFmtId="0" fontId="2" fillId="0" borderId="12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165" fontId="2" fillId="0" borderId="12" xfId="0" applyNumberFormat="1" applyFont="1" applyBorder="1" applyAlignment="1">
      <alignment horizontal="center" vertical="center"/>
    </xf>
    <xf numFmtId="165" fontId="3" fillId="0" borderId="24" xfId="0" applyNumberFormat="1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0" fillId="4" borderId="1" xfId="0" applyNumberFormat="1" applyFill="1" applyBorder="1" applyAlignment="1">
      <alignment horizontal="center" vertical="center"/>
    </xf>
    <xf numFmtId="164" fontId="0" fillId="0" borderId="3" xfId="0" applyNumberFormat="1" applyFill="1" applyBorder="1" applyAlignment="1">
      <alignment horizontal="center" vertical="center"/>
    </xf>
    <xf numFmtId="165" fontId="2" fillId="2" borderId="15" xfId="0" applyNumberFormat="1" applyFont="1" applyFill="1" applyBorder="1" applyAlignment="1">
      <alignment horizontal="center" vertical="center"/>
    </xf>
    <xf numFmtId="0" fontId="1" fillId="0" borderId="10" xfId="0" applyFont="1" applyBorder="1" applyAlignment="1">
      <alignment vertical="center" wrapText="1"/>
    </xf>
    <xf numFmtId="0" fontId="1" fillId="0" borderId="11" xfId="0" applyFont="1" applyBorder="1" applyAlignment="1">
      <alignment horizontal="center" vertical="center" wrapText="1"/>
    </xf>
    <xf numFmtId="164" fontId="0" fillId="0" borderId="12" xfId="0" applyNumberFormat="1" applyFill="1" applyBorder="1" applyAlignment="1">
      <alignment horizontal="center" vertical="center"/>
    </xf>
    <xf numFmtId="164" fontId="15" fillId="0" borderId="5" xfId="0" applyNumberFormat="1" applyFont="1" applyFill="1" applyBorder="1" applyAlignment="1">
      <alignment horizontal="center" vertical="center"/>
    </xf>
    <xf numFmtId="164" fontId="15" fillId="0" borderId="20" xfId="0" applyNumberFormat="1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2" fontId="20" fillId="0" borderId="48" xfId="0" applyNumberFormat="1" applyFont="1" applyBorder="1" applyAlignment="1">
      <alignment horizontal="center" vertical="center"/>
    </xf>
    <xf numFmtId="164" fontId="20" fillId="0" borderId="49" xfId="0" applyNumberFormat="1" applyFont="1" applyBorder="1" applyAlignment="1">
      <alignment horizontal="center" vertical="center"/>
    </xf>
    <xf numFmtId="0" fontId="0" fillId="0" borderId="53" xfId="0" applyBorder="1" applyAlignment="1">
      <alignment vertical="center"/>
    </xf>
    <xf numFmtId="164" fontId="2" fillId="0" borderId="18" xfId="0" applyNumberFormat="1" applyFont="1" applyFill="1" applyBorder="1" applyAlignment="1">
      <alignment horizontal="center" vertical="center"/>
    </xf>
    <xf numFmtId="164" fontId="2" fillId="0" borderId="39" xfId="0" applyNumberFormat="1" applyFont="1" applyFill="1" applyBorder="1" applyAlignment="1">
      <alignment horizontal="center" vertical="center"/>
    </xf>
    <xf numFmtId="0" fontId="19" fillId="0" borderId="30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/>
    </xf>
    <xf numFmtId="0" fontId="20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5" fillId="0" borderId="0" xfId="0" applyFont="1"/>
    <xf numFmtId="0" fontId="2" fillId="0" borderId="0" xfId="0" applyFont="1" applyFill="1" applyBorder="1" applyAlignment="1">
      <alignment vertical="center"/>
    </xf>
    <xf numFmtId="0" fontId="22" fillId="0" borderId="0" xfId="0" applyFont="1" applyAlignment="1"/>
    <xf numFmtId="0" fontId="24" fillId="0" borderId="0" xfId="0" applyFont="1" applyBorder="1" applyAlignment="1">
      <alignment horizontal="center"/>
    </xf>
    <xf numFmtId="0" fontId="24" fillId="0" borderId="0" xfId="0" applyFont="1" applyAlignment="1">
      <alignment horizontal="center"/>
    </xf>
    <xf numFmtId="0" fontId="0" fillId="0" borderId="0" xfId="0" applyBorder="1" applyAlignment="1">
      <alignment vertical="center"/>
    </xf>
    <xf numFmtId="0" fontId="24" fillId="3" borderId="6" xfId="0" applyFont="1" applyFill="1" applyBorder="1" applyAlignment="1">
      <alignment horizontal="center" vertical="center"/>
    </xf>
    <xf numFmtId="0" fontId="25" fillId="3" borderId="1" xfId="0" applyFont="1" applyFill="1" applyBorder="1" applyAlignment="1">
      <alignment vertical="center"/>
    </xf>
    <xf numFmtId="0" fontId="25" fillId="3" borderId="1" xfId="0" applyFont="1" applyFill="1" applyBorder="1" applyAlignment="1">
      <alignment horizontal="center" vertical="center"/>
    </xf>
    <xf numFmtId="0" fontId="25" fillId="3" borderId="5" xfId="0" applyFont="1" applyFill="1" applyBorder="1" applyAlignment="1">
      <alignment horizontal="center" vertical="center"/>
    </xf>
    <xf numFmtId="0" fontId="24" fillId="7" borderId="6" xfId="0" applyFont="1" applyFill="1" applyBorder="1" applyAlignment="1">
      <alignment horizontal="center" vertical="center"/>
    </xf>
    <xf numFmtId="0" fontId="25" fillId="7" borderId="1" xfId="0" applyFont="1" applyFill="1" applyBorder="1" applyAlignment="1">
      <alignment vertical="center"/>
    </xf>
    <xf numFmtId="0" fontId="25" fillId="7" borderId="1" xfId="0" applyFont="1" applyFill="1" applyBorder="1" applyAlignment="1">
      <alignment horizontal="center" vertical="center"/>
    </xf>
    <xf numFmtId="2" fontId="25" fillId="7" borderId="1" xfId="0" applyNumberFormat="1" applyFont="1" applyFill="1" applyBorder="1" applyAlignment="1">
      <alignment horizontal="center" vertical="center"/>
    </xf>
    <xf numFmtId="0" fontId="25" fillId="7" borderId="5" xfId="0" applyFont="1" applyFill="1" applyBorder="1" applyAlignment="1">
      <alignment horizontal="center" vertical="center"/>
    </xf>
    <xf numFmtId="0" fontId="24" fillId="0" borderId="6" xfId="0" applyFont="1" applyFill="1" applyBorder="1" applyAlignment="1">
      <alignment horizontal="center" vertical="center"/>
    </xf>
    <xf numFmtId="0" fontId="25" fillId="0" borderId="1" xfId="0" applyFont="1" applyBorder="1" applyAlignment="1">
      <alignment vertical="center"/>
    </xf>
    <xf numFmtId="0" fontId="25" fillId="0" borderId="1" xfId="0" applyFont="1" applyBorder="1" applyAlignment="1">
      <alignment horizontal="center" vertical="center"/>
    </xf>
    <xf numFmtId="2" fontId="25" fillId="0" borderId="1" xfId="0" applyNumberFormat="1" applyFont="1" applyBorder="1" applyAlignment="1">
      <alignment horizontal="center" vertical="center"/>
    </xf>
    <xf numFmtId="164" fontId="25" fillId="3" borderId="1" xfId="0" applyNumberFormat="1" applyFont="1" applyFill="1" applyBorder="1" applyAlignment="1">
      <alignment horizontal="center" vertical="center"/>
    </xf>
    <xf numFmtId="164" fontId="25" fillId="7" borderId="1" xfId="0" applyNumberFormat="1" applyFont="1" applyFill="1" applyBorder="1" applyAlignment="1">
      <alignment horizontal="center" vertical="center"/>
    </xf>
    <xf numFmtId="0" fontId="24" fillId="8" borderId="6" xfId="0" applyFont="1" applyFill="1" applyBorder="1" applyAlignment="1">
      <alignment horizontal="center" vertical="center"/>
    </xf>
    <xf numFmtId="0" fontId="25" fillId="8" borderId="1" xfId="0" applyFont="1" applyFill="1" applyBorder="1" applyAlignment="1">
      <alignment horizontal="center" vertical="center"/>
    </xf>
    <xf numFmtId="2" fontId="25" fillId="3" borderId="1" xfId="0" applyNumberFormat="1" applyFont="1" applyFill="1" applyBorder="1" applyAlignment="1">
      <alignment horizontal="center" vertical="center"/>
    </xf>
    <xf numFmtId="0" fontId="25" fillId="8" borderId="1" xfId="0" applyFont="1" applyFill="1" applyBorder="1" applyAlignment="1">
      <alignment vertical="center"/>
    </xf>
    <xf numFmtId="0" fontId="25" fillId="8" borderId="5" xfId="0" applyFont="1" applyFill="1" applyBorder="1" applyAlignment="1">
      <alignment horizontal="center" vertical="center"/>
    </xf>
    <xf numFmtId="0" fontId="0" fillId="0" borderId="35" xfId="0" applyBorder="1" applyAlignment="1">
      <alignment vertical="center"/>
    </xf>
    <xf numFmtId="0" fontId="25" fillId="0" borderId="3" xfId="0" applyFont="1" applyBorder="1" applyAlignment="1">
      <alignment vertical="center"/>
    </xf>
    <xf numFmtId="0" fontId="25" fillId="0" borderId="3" xfId="0" applyFont="1" applyBorder="1" applyAlignment="1">
      <alignment horizontal="center" vertical="center"/>
    </xf>
    <xf numFmtId="2" fontId="25" fillId="0" borderId="3" xfId="0" applyNumberFormat="1" applyFont="1" applyBorder="1" applyAlignment="1">
      <alignment horizontal="center" vertical="center"/>
    </xf>
    <xf numFmtId="0" fontId="24" fillId="8" borderId="4" xfId="0" applyFont="1" applyFill="1" applyBorder="1" applyAlignment="1">
      <alignment horizontal="center" vertical="center"/>
    </xf>
    <xf numFmtId="0" fontId="25" fillId="8" borderId="3" xfId="0" applyFont="1" applyFill="1" applyBorder="1" applyAlignment="1">
      <alignment vertical="center"/>
    </xf>
    <xf numFmtId="0" fontId="25" fillId="8" borderId="3" xfId="0" applyFont="1" applyFill="1" applyBorder="1" applyAlignment="1">
      <alignment horizontal="center" vertical="center"/>
    </xf>
    <xf numFmtId="0" fontId="25" fillId="8" borderId="2" xfId="0" applyFont="1" applyFill="1" applyBorder="1" applyAlignment="1">
      <alignment horizontal="center" vertical="center"/>
    </xf>
    <xf numFmtId="0" fontId="27" fillId="0" borderId="14" xfId="0" applyFont="1" applyBorder="1" applyAlignment="1">
      <alignment horizontal="center" vertical="center"/>
    </xf>
    <xf numFmtId="0" fontId="25" fillId="0" borderId="56" xfId="0" applyFont="1" applyFill="1" applyBorder="1" applyAlignment="1">
      <alignment vertical="center"/>
    </xf>
    <xf numFmtId="0" fontId="25" fillId="0" borderId="56" xfId="0" applyFont="1" applyFill="1" applyBorder="1" applyAlignment="1">
      <alignment horizontal="center" vertical="center"/>
    </xf>
    <xf numFmtId="0" fontId="24" fillId="0" borderId="56" xfId="0" applyFont="1" applyBorder="1" applyAlignment="1">
      <alignment horizontal="center" vertical="center"/>
    </xf>
    <xf numFmtId="0" fontId="24" fillId="0" borderId="18" xfId="0" applyFont="1" applyBorder="1" applyAlignment="1">
      <alignment horizontal="center" vertical="center"/>
    </xf>
    <xf numFmtId="0" fontId="24" fillId="0" borderId="0" xfId="0" applyFont="1" applyBorder="1" applyAlignment="1">
      <alignment vertical="center"/>
    </xf>
    <xf numFmtId="0" fontId="16" fillId="0" borderId="14" xfId="0" applyFont="1" applyBorder="1" applyAlignment="1">
      <alignment horizontal="center" vertical="center"/>
    </xf>
    <xf numFmtId="0" fontId="24" fillId="0" borderId="0" xfId="0" applyFont="1" applyAlignment="1">
      <alignment vertical="center"/>
    </xf>
    <xf numFmtId="0" fontId="28" fillId="0" borderId="0" xfId="0" applyFont="1" applyAlignment="1">
      <alignment horizontal="left"/>
    </xf>
    <xf numFmtId="0" fontId="29" fillId="0" borderId="0" xfId="0" applyFont="1" applyAlignment="1">
      <alignment horizontal="left"/>
    </xf>
    <xf numFmtId="0" fontId="25" fillId="0" borderId="12" xfId="0" applyFont="1" applyBorder="1" applyAlignment="1">
      <alignment vertical="center"/>
    </xf>
    <xf numFmtId="0" fontId="25" fillId="0" borderId="12" xfId="0" applyFont="1" applyBorder="1" applyAlignment="1">
      <alignment horizontal="center" vertical="center"/>
    </xf>
    <xf numFmtId="0" fontId="24" fillId="5" borderId="6" xfId="0" applyFont="1" applyFill="1" applyBorder="1" applyAlignment="1">
      <alignment horizontal="center" vertical="center"/>
    </xf>
    <xf numFmtId="0" fontId="25" fillId="5" borderId="1" xfId="0" applyFont="1" applyFill="1" applyBorder="1" applyAlignment="1">
      <alignment vertical="center"/>
    </xf>
    <xf numFmtId="0" fontId="25" fillId="5" borderId="1" xfId="0" applyFont="1" applyFill="1" applyBorder="1" applyAlignment="1">
      <alignment horizontal="center" vertical="center"/>
    </xf>
    <xf numFmtId="0" fontId="25" fillId="5" borderId="5" xfId="0" applyFont="1" applyFill="1" applyBorder="1" applyAlignment="1">
      <alignment horizontal="center" vertical="center"/>
    </xf>
    <xf numFmtId="0" fontId="24" fillId="8" borderId="22" xfId="0" applyFont="1" applyFill="1" applyBorder="1" applyAlignment="1">
      <alignment horizontal="center" vertical="center"/>
    </xf>
    <xf numFmtId="0" fontId="25" fillId="8" borderId="12" xfId="0" applyFont="1" applyFill="1" applyBorder="1" applyAlignment="1">
      <alignment vertical="center"/>
    </xf>
    <xf numFmtId="0" fontId="25" fillId="8" borderId="12" xfId="0" applyFont="1" applyFill="1" applyBorder="1" applyAlignment="1">
      <alignment horizontal="center" vertical="center"/>
    </xf>
    <xf numFmtId="0" fontId="25" fillId="8" borderId="13" xfId="0" applyFont="1" applyFill="1" applyBorder="1" applyAlignment="1">
      <alignment horizontal="center" vertical="center"/>
    </xf>
    <xf numFmtId="0" fontId="24" fillId="9" borderId="6" xfId="0" applyFont="1" applyFill="1" applyBorder="1" applyAlignment="1">
      <alignment horizontal="center" vertical="center"/>
    </xf>
    <xf numFmtId="0" fontId="25" fillId="9" borderId="1" xfId="0" applyFont="1" applyFill="1" applyBorder="1" applyAlignment="1">
      <alignment horizontal="center" vertical="center"/>
    </xf>
    <xf numFmtId="0" fontId="25" fillId="9" borderId="5" xfId="0" applyFont="1" applyFill="1" applyBorder="1" applyAlignment="1">
      <alignment horizontal="center" vertical="center"/>
    </xf>
    <xf numFmtId="0" fontId="24" fillId="9" borderId="1" xfId="0" applyFont="1" applyFill="1" applyBorder="1" applyAlignment="1">
      <alignment vertical="center"/>
    </xf>
    <xf numFmtId="2" fontId="25" fillId="0" borderId="12" xfId="0" applyNumberFormat="1" applyFont="1" applyBorder="1" applyAlignment="1">
      <alignment horizontal="center" vertical="center"/>
    </xf>
    <xf numFmtId="164" fontId="25" fillId="9" borderId="1" xfId="0" applyNumberFormat="1" applyFont="1" applyFill="1" applyBorder="1" applyAlignment="1">
      <alignment horizontal="center" vertical="center"/>
    </xf>
    <xf numFmtId="2" fontId="25" fillId="9" borderId="1" xfId="0" applyNumberFormat="1" applyFont="1" applyFill="1" applyBorder="1" applyAlignment="1">
      <alignment horizontal="center" vertical="center"/>
    </xf>
    <xf numFmtId="0" fontId="25" fillId="0" borderId="10" xfId="0" applyFont="1" applyBorder="1" applyAlignment="1">
      <alignment vertical="center"/>
    </xf>
    <xf numFmtId="0" fontId="25" fillId="0" borderId="10" xfId="0" applyFont="1" applyBorder="1" applyAlignment="1">
      <alignment horizontal="center" vertical="center"/>
    </xf>
    <xf numFmtId="0" fontId="16" fillId="0" borderId="25" xfId="0" applyFont="1" applyBorder="1" applyAlignment="1">
      <alignment vertical="center"/>
    </xf>
    <xf numFmtId="0" fontId="25" fillId="0" borderId="57" xfId="0" applyFont="1" applyFill="1" applyBorder="1" applyAlignment="1">
      <alignment vertical="center"/>
    </xf>
    <xf numFmtId="0" fontId="25" fillId="0" borderId="57" xfId="0" applyFont="1" applyFill="1" applyBorder="1" applyAlignment="1">
      <alignment horizontal="center" vertical="center"/>
    </xf>
    <xf numFmtId="0" fontId="24" fillId="0" borderId="57" xfId="0" applyFont="1" applyBorder="1" applyAlignment="1">
      <alignment horizontal="center" vertical="center"/>
    </xf>
    <xf numFmtId="0" fontId="24" fillId="0" borderId="40" xfId="0" applyFont="1" applyBorder="1" applyAlignment="1">
      <alignment horizontal="center" vertical="center"/>
    </xf>
    <xf numFmtId="164" fontId="25" fillId="5" borderId="1" xfId="0" applyNumberFormat="1" applyFont="1" applyFill="1" applyBorder="1" applyAlignment="1">
      <alignment horizontal="center" vertical="center"/>
    </xf>
    <xf numFmtId="0" fontId="32" fillId="0" borderId="0" xfId="0" applyFont="1" applyAlignment="1">
      <alignment horizontal="center"/>
    </xf>
    <xf numFmtId="0" fontId="28" fillId="0" borderId="0" xfId="0" applyFont="1"/>
    <xf numFmtId="0" fontId="24" fillId="0" borderId="3" xfId="0" applyFont="1" applyBorder="1" applyAlignment="1">
      <alignment vertical="center"/>
    </xf>
    <xf numFmtId="0" fontId="28" fillId="0" borderId="0" xfId="0" applyFont="1" applyAlignment="1">
      <alignment vertical="center"/>
    </xf>
    <xf numFmtId="0" fontId="25" fillId="0" borderId="8" xfId="0" applyFont="1" applyBorder="1" applyAlignment="1">
      <alignment vertical="center"/>
    </xf>
    <xf numFmtId="0" fontId="25" fillId="0" borderId="8" xfId="0" applyFont="1" applyBorder="1" applyAlignment="1">
      <alignment horizontal="center" vertical="center"/>
    </xf>
    <xf numFmtId="0" fontId="24" fillId="0" borderId="12" xfId="0" applyFont="1" applyBorder="1" applyAlignment="1">
      <alignment vertical="center"/>
    </xf>
    <xf numFmtId="0" fontId="25" fillId="0" borderId="31" xfId="0" applyFont="1" applyBorder="1" applyAlignment="1">
      <alignment vertical="center"/>
    </xf>
    <xf numFmtId="0" fontId="25" fillId="0" borderId="31" xfId="0" applyFont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3" fillId="0" borderId="2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60" xfId="0" applyFont="1" applyBorder="1" applyAlignment="1">
      <alignment horizontal="center" vertical="center"/>
    </xf>
    <xf numFmtId="166" fontId="13" fillId="0" borderId="7" xfId="0" applyNumberFormat="1" applyFont="1" applyBorder="1" applyAlignment="1">
      <alignment horizontal="center"/>
    </xf>
    <xf numFmtId="0" fontId="2" fillId="0" borderId="8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2" fontId="2" fillId="0" borderId="5" xfId="0" applyNumberFormat="1" applyFont="1" applyBorder="1" applyAlignment="1">
      <alignment horizontal="center" vertical="center"/>
    </xf>
    <xf numFmtId="166" fontId="13" fillId="0" borderId="5" xfId="0" applyNumberFormat="1" applyFont="1" applyBorder="1" applyAlignment="1">
      <alignment horizontal="center"/>
    </xf>
    <xf numFmtId="166" fontId="13" fillId="6" borderId="5" xfId="0" applyNumberFormat="1" applyFont="1" applyFill="1" applyBorder="1" applyAlignment="1">
      <alignment horizontal="center"/>
    </xf>
    <xf numFmtId="166" fontId="13" fillId="0" borderId="5" xfId="0" applyNumberFormat="1" applyFont="1" applyFill="1" applyBorder="1" applyAlignment="1">
      <alignment horizontal="center"/>
    </xf>
    <xf numFmtId="0" fontId="20" fillId="0" borderId="31" xfId="0" applyFont="1" applyBorder="1" applyAlignment="1">
      <alignment horizontal="center" vertical="center" wrapText="1"/>
    </xf>
    <xf numFmtId="0" fontId="20" fillId="0" borderId="20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6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166" fontId="34" fillId="10" borderId="49" xfId="0" applyNumberFormat="1" applyFont="1" applyFill="1" applyBorder="1" applyAlignment="1">
      <alignment horizontal="center"/>
    </xf>
    <xf numFmtId="166" fontId="20" fillId="0" borderId="49" xfId="0" applyNumberFormat="1" applyFont="1" applyFill="1" applyBorder="1" applyAlignment="1">
      <alignment horizontal="center"/>
    </xf>
    <xf numFmtId="0" fontId="0" fillId="0" borderId="0" xfId="0" applyFont="1" applyAlignment="1">
      <alignment horizontal="center"/>
    </xf>
    <xf numFmtId="166" fontId="0" fillId="0" borderId="0" xfId="0" applyNumberFormat="1" applyFont="1" applyAlignment="1">
      <alignment horizontal="center"/>
    </xf>
    <xf numFmtId="0" fontId="13" fillId="0" borderId="4" xfId="0" applyFont="1" applyBorder="1" applyAlignment="1">
      <alignment horizontal="center"/>
    </xf>
    <xf numFmtId="0" fontId="13" fillId="0" borderId="3" xfId="0" applyFont="1" applyBorder="1" applyAlignment="1">
      <alignment horizontal="center"/>
    </xf>
    <xf numFmtId="0" fontId="13" fillId="0" borderId="2" xfId="0" applyFont="1" applyBorder="1" applyAlignment="1">
      <alignment horizontal="center"/>
    </xf>
    <xf numFmtId="0" fontId="13" fillId="0" borderId="47" xfId="0" applyFont="1" applyBorder="1" applyAlignment="1">
      <alignment horizontal="center"/>
    </xf>
    <xf numFmtId="2" fontId="13" fillId="0" borderId="49" xfId="0" applyNumberFormat="1" applyFont="1" applyBorder="1" applyAlignment="1">
      <alignment horizontal="center"/>
    </xf>
    <xf numFmtId="0" fontId="2" fillId="0" borderId="62" xfId="0" applyFont="1" applyFill="1" applyBorder="1" applyAlignment="1">
      <alignment horizontal="center" vertical="center"/>
    </xf>
    <xf numFmtId="166" fontId="34" fillId="0" borderId="49" xfId="0" applyNumberFormat="1" applyFont="1" applyBorder="1" applyAlignment="1">
      <alignment horizontal="center"/>
    </xf>
    <xf numFmtId="0" fontId="2" fillId="0" borderId="64" xfId="0" applyFont="1" applyBorder="1" applyAlignment="1">
      <alignment horizontal="center" vertical="center"/>
    </xf>
    <xf numFmtId="0" fontId="20" fillId="0" borderId="0" xfId="0" applyFont="1" applyAlignment="1">
      <alignment horizontal="center"/>
    </xf>
    <xf numFmtId="166" fontId="20" fillId="6" borderId="49" xfId="0" applyNumberFormat="1" applyFont="1" applyFill="1" applyBorder="1" applyAlignment="1">
      <alignment horizontal="center"/>
    </xf>
    <xf numFmtId="0" fontId="15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0" fontId="13" fillId="0" borderId="0" xfId="0" applyFont="1" applyAlignment="1"/>
    <xf numFmtId="0" fontId="14" fillId="11" borderId="43" xfId="0" applyFont="1" applyFill="1" applyBorder="1" applyAlignment="1">
      <alignment horizontal="center" vertical="center"/>
    </xf>
    <xf numFmtId="0" fontId="19" fillId="0" borderId="8" xfId="0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/>
    </xf>
    <xf numFmtId="0" fontId="19" fillId="0" borderId="10" xfId="0" applyFont="1" applyFill="1" applyBorder="1" applyAlignment="1">
      <alignment horizontal="center" vertical="center"/>
    </xf>
    <xf numFmtId="0" fontId="19" fillId="0" borderId="44" xfId="0" applyFont="1" applyFill="1" applyBorder="1" applyAlignment="1">
      <alignment horizontal="center" vertical="center"/>
    </xf>
    <xf numFmtId="164" fontId="2" fillId="0" borderId="10" xfId="0" applyNumberFormat="1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1" fillId="0" borderId="43" xfId="0" applyFont="1" applyFill="1" applyBorder="1" applyAlignment="1">
      <alignment horizontal="center" vertical="center"/>
    </xf>
    <xf numFmtId="0" fontId="2" fillId="0" borderId="24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19" fillId="0" borderId="31" xfId="0" applyFont="1" applyFill="1" applyBorder="1" applyAlignment="1">
      <alignment horizontal="center" vertical="center"/>
    </xf>
    <xf numFmtId="164" fontId="2" fillId="0" borderId="3" xfId="0" applyNumberFormat="1" applyFont="1" applyFill="1" applyBorder="1" applyAlignment="1">
      <alignment horizontal="center" vertical="center"/>
    </xf>
    <xf numFmtId="49" fontId="2" fillId="0" borderId="14" xfId="0" applyNumberFormat="1" applyFont="1" applyFill="1" applyBorder="1" applyAlignment="1">
      <alignment horizontal="center" vertical="center"/>
    </xf>
    <xf numFmtId="2" fontId="14" fillId="11" borderId="43" xfId="0" applyNumberFormat="1" applyFont="1" applyFill="1" applyBorder="1" applyAlignment="1">
      <alignment horizontal="center" vertical="center"/>
    </xf>
    <xf numFmtId="164" fontId="0" fillId="4" borderId="3" xfId="0" applyNumberFormat="1" applyFill="1" applyBorder="1" applyAlignment="1">
      <alignment horizontal="center" vertical="center"/>
    </xf>
    <xf numFmtId="2" fontId="19" fillId="0" borderId="44" xfId="0" applyNumberFormat="1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/>
    </xf>
    <xf numFmtId="0" fontId="2" fillId="0" borderId="21" xfId="0" applyFont="1" applyFill="1" applyBorder="1" applyAlignment="1">
      <alignment horizontal="center" vertical="center"/>
    </xf>
    <xf numFmtId="164" fontId="2" fillId="0" borderId="45" xfId="0" applyNumberFormat="1" applyFont="1" applyFill="1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165" fontId="2" fillId="0" borderId="10" xfId="0" applyNumberFormat="1" applyFont="1" applyBorder="1" applyAlignment="1">
      <alignment horizontal="center" vertical="center"/>
    </xf>
    <xf numFmtId="164" fontId="15" fillId="0" borderId="1" xfId="0" applyNumberFormat="1" applyFont="1" applyFill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35" fillId="0" borderId="26" xfId="0" applyFont="1" applyBorder="1" applyAlignment="1">
      <alignment horizontal="left" vertical="center"/>
    </xf>
    <xf numFmtId="49" fontId="8" fillId="0" borderId="39" xfId="0" applyNumberFormat="1" applyFont="1" applyBorder="1" applyAlignment="1">
      <alignment horizontal="center" vertical="center"/>
    </xf>
    <xf numFmtId="49" fontId="8" fillId="0" borderId="24" xfId="0" applyNumberFormat="1" applyFont="1" applyBorder="1" applyAlignment="1">
      <alignment horizontal="center" vertical="center"/>
    </xf>
    <xf numFmtId="49" fontId="8" fillId="0" borderId="26" xfId="0" applyNumberFormat="1" applyFont="1" applyBorder="1" applyAlignment="1">
      <alignment horizontal="center" vertical="center"/>
    </xf>
    <xf numFmtId="0" fontId="35" fillId="0" borderId="26" xfId="0" applyFont="1" applyBorder="1" applyAlignment="1">
      <alignment vertical="center"/>
    </xf>
    <xf numFmtId="0" fontId="35" fillId="0" borderId="16" xfId="0" applyFont="1" applyBorder="1" applyAlignment="1">
      <alignment horizontal="left" vertical="center"/>
    </xf>
    <xf numFmtId="49" fontId="8" fillId="0" borderId="18" xfId="0" applyNumberFormat="1" applyFont="1" applyBorder="1" applyAlignment="1">
      <alignment horizontal="center" vertical="center"/>
    </xf>
    <xf numFmtId="49" fontId="8" fillId="0" borderId="14" xfId="0" applyNumberFormat="1" applyFont="1" applyBorder="1" applyAlignment="1">
      <alignment horizontal="center" vertical="center"/>
    </xf>
    <xf numFmtId="49" fontId="8" fillId="0" borderId="16" xfId="0" applyNumberFormat="1" applyFont="1" applyBorder="1" applyAlignment="1">
      <alignment horizontal="center" vertical="center"/>
    </xf>
    <xf numFmtId="0" fontId="35" fillId="0" borderId="16" xfId="0" applyFont="1" applyBorder="1" applyAlignment="1">
      <alignment vertical="center"/>
    </xf>
    <xf numFmtId="0" fontId="35" fillId="0" borderId="38" xfId="0" applyFont="1" applyBorder="1" applyAlignment="1">
      <alignment horizontal="left" vertical="center"/>
    </xf>
    <xf numFmtId="49" fontId="8" fillId="0" borderId="40" xfId="0" applyNumberFormat="1" applyFont="1" applyBorder="1" applyAlignment="1">
      <alignment horizontal="center" vertical="center"/>
    </xf>
    <xf numFmtId="49" fontId="8" fillId="0" borderId="25" xfId="0" applyNumberFormat="1" applyFont="1" applyBorder="1" applyAlignment="1">
      <alignment horizontal="center" vertical="center"/>
    </xf>
    <xf numFmtId="49" fontId="8" fillId="0" borderId="38" xfId="0" applyNumberFormat="1" applyFont="1" applyBorder="1" applyAlignment="1">
      <alignment horizontal="center" vertical="center"/>
    </xf>
    <xf numFmtId="0" fontId="35" fillId="0" borderId="38" xfId="0" applyFont="1" applyBorder="1" applyAlignment="1">
      <alignment vertical="center"/>
    </xf>
    <xf numFmtId="0" fontId="8" fillId="0" borderId="16" xfId="0" applyFont="1" applyBorder="1" applyAlignment="1">
      <alignment vertical="center"/>
    </xf>
    <xf numFmtId="0" fontId="8" fillId="0" borderId="14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vertical="center"/>
    </xf>
    <xf numFmtId="49" fontId="8" fillId="0" borderId="19" xfId="0" applyNumberFormat="1" applyFont="1" applyBorder="1" applyAlignment="1">
      <alignment horizontal="center" vertical="center"/>
    </xf>
    <xf numFmtId="49" fontId="8" fillId="0" borderId="15" xfId="0" applyNumberFormat="1" applyFont="1" applyBorder="1" applyAlignment="1">
      <alignment vertical="center"/>
    </xf>
    <xf numFmtId="49" fontId="8" fillId="0" borderId="17" xfId="0" applyNumberFormat="1" applyFont="1" applyBorder="1" applyAlignment="1">
      <alignment vertical="center"/>
    </xf>
    <xf numFmtId="0" fontId="8" fillId="0" borderId="19" xfId="0" applyFont="1" applyBorder="1" applyAlignment="1">
      <alignment horizontal="center" vertical="center"/>
    </xf>
    <xf numFmtId="0" fontId="8" fillId="0" borderId="15" xfId="0" applyFont="1" applyBorder="1" applyAlignment="1">
      <alignment vertical="center"/>
    </xf>
    <xf numFmtId="2" fontId="19" fillId="0" borderId="1" xfId="0" applyNumberFormat="1" applyFont="1" applyFill="1" applyBorder="1" applyAlignment="1">
      <alignment horizontal="center" vertical="center"/>
    </xf>
    <xf numFmtId="2" fontId="19" fillId="0" borderId="10" xfId="0" applyNumberFormat="1" applyFont="1" applyFill="1" applyBorder="1" applyAlignment="1">
      <alignment horizontal="center" vertical="center"/>
    </xf>
    <xf numFmtId="0" fontId="11" fillId="0" borderId="43" xfId="0" applyFont="1" applyFill="1" applyBorder="1" applyAlignment="1">
      <alignment horizontal="center" vertical="center"/>
    </xf>
    <xf numFmtId="164" fontId="2" fillId="0" borderId="40" xfId="0" applyNumberFormat="1" applyFont="1" applyBorder="1" applyAlignment="1">
      <alignment horizontal="center" vertical="center"/>
    </xf>
    <xf numFmtId="165" fontId="2" fillId="0" borderId="8" xfId="0" applyNumberFormat="1" applyFont="1" applyBorder="1" applyAlignment="1">
      <alignment horizontal="center" vertical="center"/>
    </xf>
    <xf numFmtId="165" fontId="3" fillId="0" borderId="25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1" fillId="0" borderId="43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2" fontId="20" fillId="0" borderId="31" xfId="0" applyNumberFormat="1" applyFont="1" applyBorder="1" applyAlignment="1">
      <alignment horizontal="center" vertical="center"/>
    </xf>
    <xf numFmtId="0" fontId="2" fillId="0" borderId="44" xfId="0" applyFont="1" applyFill="1" applyBorder="1" applyAlignment="1">
      <alignment horizontal="center" vertical="center"/>
    </xf>
    <xf numFmtId="49" fontId="2" fillId="0" borderId="24" xfId="0" applyNumberFormat="1" applyFont="1" applyFill="1" applyBorder="1" applyAlignment="1">
      <alignment horizontal="center" vertical="center"/>
    </xf>
    <xf numFmtId="165" fontId="2" fillId="12" borderId="21" xfId="0" applyNumberFormat="1" applyFont="1" applyFill="1" applyBorder="1" applyAlignment="1">
      <alignment horizontal="center" vertical="center"/>
    </xf>
    <xf numFmtId="0" fontId="0" fillId="12" borderId="0" xfId="0" applyFill="1" applyAlignment="1">
      <alignment horizontal="center" vertical="center"/>
    </xf>
    <xf numFmtId="165" fontId="2" fillId="13" borderId="3" xfId="0" applyNumberFormat="1" applyFont="1" applyFill="1" applyBorder="1" applyAlignment="1">
      <alignment horizontal="center" vertical="center"/>
    </xf>
    <xf numFmtId="0" fontId="0" fillId="13" borderId="0" xfId="0" applyFill="1" applyAlignment="1">
      <alignment horizontal="center" vertical="center"/>
    </xf>
    <xf numFmtId="165" fontId="2" fillId="13" borderId="1" xfId="0" applyNumberFormat="1" applyFont="1" applyFill="1" applyBorder="1" applyAlignment="1">
      <alignment horizontal="center" vertical="center"/>
    </xf>
    <xf numFmtId="165" fontId="2" fillId="12" borderId="12" xfId="0" applyNumberFormat="1" applyFont="1" applyFill="1" applyBorder="1" applyAlignment="1">
      <alignment horizontal="center" vertical="center"/>
    </xf>
    <xf numFmtId="165" fontId="2" fillId="12" borderId="8" xfId="0" applyNumberFormat="1" applyFont="1" applyFill="1" applyBorder="1" applyAlignment="1">
      <alignment horizontal="center" vertical="center"/>
    </xf>
    <xf numFmtId="0" fontId="0" fillId="13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/>
    <xf numFmtId="0" fontId="13" fillId="0" borderId="0" xfId="0" applyFont="1" applyFill="1"/>
    <xf numFmtId="0" fontId="2" fillId="0" borderId="1" xfId="0" applyFont="1" applyFill="1" applyBorder="1" applyAlignment="1">
      <alignment vertical="center"/>
    </xf>
    <xf numFmtId="164" fontId="2" fillId="0" borderId="1" xfId="0" applyNumberFormat="1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2" fontId="15" fillId="0" borderId="1" xfId="0" applyNumberFormat="1" applyFont="1" applyBorder="1" applyAlignment="1">
      <alignment horizontal="center"/>
    </xf>
    <xf numFmtId="2" fontId="2" fillId="0" borderId="1" xfId="0" applyNumberFormat="1" applyFont="1" applyFill="1" applyBorder="1" applyAlignment="1">
      <alignment horizontal="center" vertical="center"/>
    </xf>
    <xf numFmtId="2" fontId="0" fillId="0" borderId="0" xfId="0" applyNumberFormat="1" applyFont="1"/>
    <xf numFmtId="2" fontId="0" fillId="0" borderId="0" xfId="0" applyNumberFormat="1"/>
    <xf numFmtId="0" fontId="0" fillId="0" borderId="6" xfId="0" applyFill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25" fillId="0" borderId="1" xfId="0" applyFont="1" applyFill="1" applyBorder="1" applyAlignment="1">
      <alignment vertical="center"/>
    </xf>
    <xf numFmtId="0" fontId="25" fillId="0" borderId="1" xfId="0" applyFont="1" applyFill="1" applyBorder="1" applyAlignment="1">
      <alignment horizontal="center" vertical="center"/>
    </xf>
    <xf numFmtId="0" fontId="26" fillId="0" borderId="1" xfId="0" applyFont="1" applyFill="1" applyBorder="1" applyAlignment="1">
      <alignment horizontal="center" vertical="center"/>
    </xf>
    <xf numFmtId="0" fontId="25" fillId="0" borderId="5" xfId="0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vertical="center"/>
    </xf>
    <xf numFmtId="2" fontId="25" fillId="0" borderId="1" xfId="0" applyNumberFormat="1" applyFont="1" applyFill="1" applyBorder="1" applyAlignment="1">
      <alignment horizontal="center" vertical="center"/>
    </xf>
    <xf numFmtId="0" fontId="24" fillId="0" borderId="4" xfId="0" applyFont="1" applyFill="1" applyBorder="1" applyAlignment="1">
      <alignment horizontal="center" vertical="center"/>
    </xf>
    <xf numFmtId="0" fontId="25" fillId="0" borderId="3" xfId="0" applyFont="1" applyFill="1" applyBorder="1" applyAlignment="1">
      <alignment horizontal="center" vertical="center"/>
    </xf>
    <xf numFmtId="0" fontId="25" fillId="0" borderId="2" xfId="0" applyFont="1" applyFill="1" applyBorder="1" applyAlignment="1">
      <alignment horizontal="center" vertical="center"/>
    </xf>
    <xf numFmtId="2" fontId="33" fillId="8" borderId="1" xfId="0" applyNumberFormat="1" applyFont="1" applyFill="1" applyBorder="1" applyAlignment="1">
      <alignment horizontal="center" vertical="center"/>
    </xf>
    <xf numFmtId="2" fontId="33" fillId="0" borderId="1" xfId="0" applyNumberFormat="1" applyFont="1" applyFill="1" applyBorder="1" applyAlignment="1">
      <alignment horizontal="center" vertical="center"/>
    </xf>
    <xf numFmtId="2" fontId="25" fillId="5" borderId="1" xfId="0" applyNumberFormat="1" applyFont="1" applyFill="1" applyBorder="1" applyAlignment="1">
      <alignment horizontal="center" vertical="center"/>
    </xf>
    <xf numFmtId="164" fontId="25" fillId="0" borderId="1" xfId="0" applyNumberFormat="1" applyFont="1" applyFill="1" applyBorder="1" applyAlignment="1">
      <alignment horizontal="center" vertical="center"/>
    </xf>
    <xf numFmtId="2" fontId="33" fillId="8" borderId="12" xfId="0" applyNumberFormat="1" applyFont="1" applyFill="1" applyBorder="1" applyAlignment="1">
      <alignment horizontal="center" vertical="center"/>
    </xf>
    <xf numFmtId="0" fontId="24" fillId="9" borderId="4" xfId="0" applyFont="1" applyFill="1" applyBorder="1" applyAlignment="1">
      <alignment horizontal="center" vertical="center"/>
    </xf>
    <xf numFmtId="0" fontId="24" fillId="9" borderId="3" xfId="0" applyFont="1" applyFill="1" applyBorder="1" applyAlignment="1">
      <alignment vertical="center"/>
    </xf>
    <xf numFmtId="0" fontId="25" fillId="9" borderId="3" xfId="0" applyFont="1" applyFill="1" applyBorder="1" applyAlignment="1">
      <alignment horizontal="center" vertical="center"/>
    </xf>
    <xf numFmtId="2" fontId="25" fillId="9" borderId="3" xfId="0" applyNumberFormat="1" applyFont="1" applyFill="1" applyBorder="1" applyAlignment="1">
      <alignment horizontal="center" vertical="center"/>
    </xf>
    <xf numFmtId="0" fontId="25" fillId="9" borderId="2" xfId="0" applyFont="1" applyFill="1" applyBorder="1" applyAlignment="1">
      <alignment horizontal="center" vertical="center"/>
    </xf>
    <xf numFmtId="164" fontId="33" fillId="8" borderId="1" xfId="0" applyNumberFormat="1" applyFont="1" applyFill="1" applyBorder="1" applyAlignment="1">
      <alignment horizontal="center" vertical="center"/>
    </xf>
    <xf numFmtId="0" fontId="24" fillId="9" borderId="22" xfId="0" applyFont="1" applyFill="1" applyBorder="1" applyAlignment="1">
      <alignment horizontal="center" vertical="center"/>
    </xf>
    <xf numFmtId="0" fontId="24" fillId="9" borderId="12" xfId="0" applyFont="1" applyFill="1" applyBorder="1" applyAlignment="1">
      <alignment vertical="center"/>
    </xf>
    <xf numFmtId="0" fontId="25" fillId="9" borderId="12" xfId="0" applyFont="1" applyFill="1" applyBorder="1" applyAlignment="1">
      <alignment horizontal="center" vertical="center"/>
    </xf>
    <xf numFmtId="164" fontId="25" fillId="9" borderId="12" xfId="0" applyNumberFormat="1" applyFont="1" applyFill="1" applyBorder="1" applyAlignment="1">
      <alignment horizontal="center" vertical="center"/>
    </xf>
    <xf numFmtId="0" fontId="25" fillId="9" borderId="13" xfId="0" applyFont="1" applyFill="1" applyBorder="1" applyAlignment="1">
      <alignment horizontal="center" vertical="center"/>
    </xf>
    <xf numFmtId="0" fontId="24" fillId="0" borderId="3" xfId="0" applyFont="1" applyFill="1" applyBorder="1" applyAlignment="1">
      <alignment vertical="center"/>
    </xf>
    <xf numFmtId="164" fontId="25" fillId="0" borderId="3" xfId="0" applyNumberFormat="1" applyFont="1" applyFill="1" applyBorder="1" applyAlignment="1">
      <alignment horizontal="center" vertical="center"/>
    </xf>
    <xf numFmtId="2" fontId="23" fillId="9" borderId="1" xfId="0" applyNumberFormat="1" applyFont="1" applyFill="1" applyBorder="1" applyAlignment="1">
      <alignment horizontal="center" vertical="center"/>
    </xf>
    <xf numFmtId="2" fontId="23" fillId="7" borderId="1" xfId="0" applyNumberFormat="1" applyFont="1" applyFill="1" applyBorder="1" applyAlignment="1">
      <alignment horizontal="center" vertical="center"/>
    </xf>
    <xf numFmtId="2" fontId="26" fillId="9" borderId="1" xfId="0" applyNumberFormat="1" applyFont="1" applyFill="1" applyBorder="1" applyAlignment="1">
      <alignment horizontal="center" vertical="center"/>
    </xf>
    <xf numFmtId="2" fontId="26" fillId="8" borderId="1" xfId="0" applyNumberFormat="1" applyFont="1" applyFill="1" applyBorder="1" applyAlignment="1">
      <alignment horizontal="center" vertical="center"/>
    </xf>
    <xf numFmtId="2" fontId="26" fillId="7" borderId="1" xfId="0" applyNumberFormat="1" applyFont="1" applyFill="1" applyBorder="1" applyAlignment="1">
      <alignment horizontal="center" vertical="center"/>
    </xf>
    <xf numFmtId="2" fontId="26" fillId="5" borderId="1" xfId="0" applyNumberFormat="1" applyFont="1" applyFill="1" applyBorder="1" applyAlignment="1">
      <alignment horizontal="center" vertical="center"/>
    </xf>
    <xf numFmtId="2" fontId="23" fillId="3" borderId="1" xfId="0" applyNumberFormat="1" applyFont="1" applyFill="1" applyBorder="1" applyAlignment="1">
      <alignment horizontal="center" vertical="center"/>
    </xf>
    <xf numFmtId="2" fontId="26" fillId="3" borderId="1" xfId="0" applyNumberFormat="1" applyFont="1" applyFill="1" applyBorder="1" applyAlignment="1">
      <alignment horizontal="center" vertical="center"/>
    </xf>
    <xf numFmtId="2" fontId="23" fillId="8" borderId="3" xfId="0" applyNumberFormat="1" applyFont="1" applyFill="1" applyBorder="1" applyAlignment="1">
      <alignment horizontal="center" vertical="center"/>
    </xf>
    <xf numFmtId="0" fontId="2" fillId="0" borderId="1" xfId="0" quotePrefix="1" applyFont="1" applyFill="1" applyBorder="1" applyAlignment="1">
      <alignment horizontal="center" vertical="center"/>
    </xf>
    <xf numFmtId="2" fontId="25" fillId="0" borderId="10" xfId="0" applyNumberFormat="1" applyFont="1" applyBorder="1" applyAlignment="1">
      <alignment horizontal="center" vertical="center"/>
    </xf>
    <xf numFmtId="166" fontId="13" fillId="0" borderId="13" xfId="0" applyNumberFormat="1" applyFont="1" applyBorder="1" applyAlignment="1">
      <alignment horizontal="center"/>
    </xf>
    <xf numFmtId="166" fontId="13" fillId="0" borderId="2" xfId="0" applyNumberFormat="1" applyFont="1" applyBorder="1" applyAlignment="1">
      <alignment horizontal="center"/>
    </xf>
    <xf numFmtId="0" fontId="13" fillId="0" borderId="4" xfId="0" applyFont="1" applyFill="1" applyBorder="1" applyAlignment="1">
      <alignment horizontal="center" vertical="center"/>
    </xf>
    <xf numFmtId="0" fontId="13" fillId="0" borderId="3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166" fontId="13" fillId="0" borderId="7" xfId="0" applyNumberFormat="1" applyFont="1" applyFill="1" applyBorder="1" applyAlignment="1">
      <alignment horizontal="center"/>
    </xf>
    <xf numFmtId="166" fontId="34" fillId="0" borderId="49" xfId="0" applyNumberFormat="1" applyFont="1" applyFill="1" applyBorder="1" applyAlignment="1">
      <alignment horizontal="center"/>
    </xf>
    <xf numFmtId="2" fontId="0" fillId="3" borderId="6" xfId="0" applyNumberFormat="1" applyFill="1" applyBorder="1" applyAlignment="1">
      <alignment horizontal="center" vertical="center"/>
    </xf>
    <xf numFmtId="2" fontId="0" fillId="0" borderId="6" xfId="0" applyNumberForma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7" fillId="0" borderId="0" xfId="0" applyFont="1" applyBorder="1" applyAlignment="1">
      <alignment horizontal="center"/>
    </xf>
    <xf numFmtId="0" fontId="0" fillId="0" borderId="22" xfId="0" applyFill="1" applyBorder="1" applyAlignment="1">
      <alignment horizontal="center" vertical="center"/>
    </xf>
    <xf numFmtId="0" fontId="0" fillId="0" borderId="23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1" fillId="0" borderId="1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8" fillId="0" borderId="25" xfId="0" applyFont="1" applyFill="1" applyBorder="1" applyAlignment="1">
      <alignment horizontal="center" textRotation="90"/>
    </xf>
    <xf numFmtId="0" fontId="8" fillId="0" borderId="14" xfId="0" applyFont="1" applyFill="1" applyBorder="1" applyAlignment="1">
      <alignment horizontal="center" textRotation="90"/>
    </xf>
    <xf numFmtId="0" fontId="8" fillId="0" borderId="24" xfId="0" applyFont="1" applyFill="1" applyBorder="1" applyAlignment="1">
      <alignment horizontal="center" textRotation="90"/>
    </xf>
    <xf numFmtId="0" fontId="8" fillId="0" borderId="34" xfId="0" applyFont="1" applyFill="1" applyBorder="1" applyAlignment="1">
      <alignment horizontal="center" vertical="center" textRotation="90"/>
    </xf>
    <xf numFmtId="0" fontId="8" fillId="0" borderId="46" xfId="0" applyFont="1" applyFill="1" applyBorder="1" applyAlignment="1">
      <alignment horizontal="center" vertical="center" textRotation="90"/>
    </xf>
    <xf numFmtId="0" fontId="0" fillId="0" borderId="4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 textRotation="90"/>
    </xf>
    <xf numFmtId="0" fontId="0" fillId="0" borderId="15" xfId="0" applyFill="1" applyBorder="1" applyAlignment="1">
      <alignment horizontal="center" vertical="center" textRotation="90"/>
    </xf>
    <xf numFmtId="0" fontId="0" fillId="0" borderId="11" xfId="0" applyFill="1" applyBorder="1" applyAlignment="1">
      <alignment horizontal="center" vertical="center" textRotation="90"/>
    </xf>
    <xf numFmtId="0" fontId="0" fillId="0" borderId="46" xfId="0" applyFill="1" applyBorder="1" applyAlignment="1">
      <alignment horizontal="center" vertical="center" textRotation="90"/>
    </xf>
    <xf numFmtId="0" fontId="0" fillId="0" borderId="20" xfId="0" applyFill="1" applyBorder="1" applyAlignment="1">
      <alignment horizontal="center" vertical="center" textRotation="90"/>
    </xf>
    <xf numFmtId="0" fontId="17" fillId="0" borderId="25" xfId="0" applyFont="1" applyFill="1" applyBorder="1" applyAlignment="1">
      <alignment horizontal="center" textRotation="90"/>
    </xf>
    <xf numFmtId="0" fontId="17" fillId="0" borderId="14" xfId="0" applyFont="1" applyFill="1" applyBorder="1" applyAlignment="1">
      <alignment horizontal="center" textRotation="90"/>
    </xf>
    <xf numFmtId="0" fontId="9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0" fillId="0" borderId="2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34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39" xfId="0" applyBorder="1" applyAlignment="1">
      <alignment horizontal="center" vertical="center"/>
    </xf>
    <xf numFmtId="0" fontId="23" fillId="0" borderId="54" xfId="0" applyFont="1" applyBorder="1" applyAlignment="1">
      <alignment horizontal="center" vertical="center" wrapText="1"/>
    </xf>
    <xf numFmtId="0" fontId="23" fillId="0" borderId="55" xfId="0" applyFont="1" applyBorder="1" applyAlignment="1">
      <alignment horizontal="center" vertical="center" wrapText="1"/>
    </xf>
    <xf numFmtId="0" fontId="23" fillId="0" borderId="34" xfId="0" applyFont="1" applyBorder="1" applyAlignment="1">
      <alignment horizontal="center" vertical="center" wrapText="1"/>
    </xf>
    <xf numFmtId="0" fontId="23" fillId="0" borderId="20" xfId="0" applyFont="1" applyBorder="1" applyAlignment="1">
      <alignment horizontal="center" vertical="center" wrapText="1"/>
    </xf>
    <xf numFmtId="0" fontId="23" fillId="0" borderId="32" xfId="0" applyFont="1" applyBorder="1" applyAlignment="1">
      <alignment horizontal="center" vertical="center" wrapText="1"/>
    </xf>
    <xf numFmtId="0" fontId="23" fillId="0" borderId="33" xfId="0" applyFont="1" applyBorder="1" applyAlignment="1">
      <alignment horizontal="center" vertical="center" wrapText="1"/>
    </xf>
    <xf numFmtId="0" fontId="23" fillId="0" borderId="12" xfId="0" applyFont="1" applyBorder="1" applyAlignment="1">
      <alignment horizontal="center" vertical="center"/>
    </xf>
    <xf numFmtId="0" fontId="23" fillId="0" borderId="3" xfId="0" applyFont="1" applyBorder="1" applyAlignment="1">
      <alignment horizontal="center" vertical="center"/>
    </xf>
    <xf numFmtId="0" fontId="22" fillId="0" borderId="0" xfId="0" applyFont="1" applyAlignment="1">
      <alignment horizontal="center"/>
    </xf>
    <xf numFmtId="0" fontId="23" fillId="0" borderId="30" xfId="0" applyFont="1" applyBorder="1" applyAlignment="1">
      <alignment horizontal="center" vertical="center"/>
    </xf>
    <xf numFmtId="0" fontId="23" fillId="0" borderId="31" xfId="0" applyFont="1" applyBorder="1" applyAlignment="1">
      <alignment horizontal="center" vertical="center"/>
    </xf>
    <xf numFmtId="0" fontId="24" fillId="0" borderId="32" xfId="0" applyFont="1" applyBorder="1" applyAlignment="1">
      <alignment horizontal="center" vertical="center"/>
    </xf>
    <xf numFmtId="0" fontId="24" fillId="0" borderId="42" xfId="0" applyFont="1" applyBorder="1" applyAlignment="1">
      <alignment horizontal="center" vertical="center"/>
    </xf>
    <xf numFmtId="0" fontId="24" fillId="0" borderId="33" xfId="0" applyFont="1" applyBorder="1" applyAlignment="1">
      <alignment horizontal="center" vertical="center"/>
    </xf>
    <xf numFmtId="2" fontId="25" fillId="0" borderId="34" xfId="0" applyNumberFormat="1" applyFont="1" applyBorder="1" applyAlignment="1">
      <alignment horizontal="center" vertical="center"/>
    </xf>
    <xf numFmtId="2" fontId="25" fillId="0" borderId="46" xfId="0" applyNumberFormat="1" applyFont="1" applyBorder="1" applyAlignment="1">
      <alignment horizontal="center" vertical="center"/>
    </xf>
    <xf numFmtId="2" fontId="25" fillId="0" borderId="20" xfId="0" applyNumberFormat="1" applyFont="1" applyBorder="1" applyAlignment="1">
      <alignment horizontal="center" vertical="center"/>
    </xf>
    <xf numFmtId="0" fontId="23" fillId="0" borderId="22" xfId="0" applyFont="1" applyBorder="1" applyAlignment="1">
      <alignment horizontal="center" vertical="center" wrapText="1"/>
    </xf>
    <xf numFmtId="0" fontId="23" fillId="0" borderId="4" xfId="0" applyFont="1" applyBorder="1" applyAlignment="1">
      <alignment horizontal="center" vertical="center" wrapText="1"/>
    </xf>
    <xf numFmtId="0" fontId="33" fillId="0" borderId="30" xfId="0" applyFont="1" applyBorder="1" applyAlignment="1">
      <alignment horizontal="center" vertical="center" wrapText="1"/>
    </xf>
    <xf numFmtId="0" fontId="33" fillId="0" borderId="31" xfId="0" applyFont="1" applyBorder="1" applyAlignment="1">
      <alignment horizontal="center" vertical="center" wrapText="1"/>
    </xf>
    <xf numFmtId="0" fontId="24" fillId="0" borderId="27" xfId="0" applyFont="1" applyBorder="1" applyAlignment="1">
      <alignment horizontal="center"/>
    </xf>
    <xf numFmtId="0" fontId="24" fillId="0" borderId="28" xfId="0" applyFont="1" applyBorder="1" applyAlignment="1">
      <alignment horizontal="center"/>
    </xf>
    <xf numFmtId="0" fontId="24" fillId="0" borderId="58" xfId="0" applyFont="1" applyBorder="1" applyAlignment="1">
      <alignment horizontal="center"/>
    </xf>
    <xf numFmtId="0" fontId="20" fillId="0" borderId="22" xfId="0" applyFont="1" applyBorder="1" applyAlignment="1">
      <alignment horizontal="center"/>
    </xf>
    <xf numFmtId="0" fontId="20" fillId="0" borderId="13" xfId="0" applyFont="1" applyBorder="1" applyAlignment="1">
      <alignment horizontal="center"/>
    </xf>
    <xf numFmtId="0" fontId="20" fillId="0" borderId="12" xfId="0" applyFont="1" applyBorder="1" applyAlignment="1">
      <alignment horizontal="center"/>
    </xf>
    <xf numFmtId="0" fontId="20" fillId="0" borderId="60" xfId="0" applyFont="1" applyBorder="1" applyAlignment="1">
      <alignment horizontal="center" vertical="center"/>
    </xf>
    <xf numFmtId="0" fontId="20" fillId="0" borderId="63" xfId="0" applyFont="1" applyBorder="1" applyAlignment="1">
      <alignment horizontal="center" vertical="center"/>
    </xf>
    <xf numFmtId="0" fontId="20" fillId="0" borderId="41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20" fillId="0" borderId="32" xfId="0" applyFont="1" applyBorder="1" applyAlignment="1">
      <alignment horizontal="center" vertical="center" wrapText="1"/>
    </xf>
    <xf numFmtId="0" fontId="0" fillId="0" borderId="42" xfId="0" applyBorder="1"/>
    <xf numFmtId="0" fontId="0" fillId="0" borderId="33" xfId="0" applyBorder="1"/>
    <xf numFmtId="0" fontId="20" fillId="0" borderId="30" xfId="0" applyFont="1" applyBorder="1" applyAlignment="1">
      <alignment horizontal="center" vertical="center"/>
    </xf>
    <xf numFmtId="0" fontId="0" fillId="0" borderId="44" xfId="0" applyBorder="1"/>
    <xf numFmtId="0" fontId="0" fillId="0" borderId="31" xfId="0" applyBorder="1"/>
    <xf numFmtId="0" fontId="20" fillId="0" borderId="54" xfId="0" applyFont="1" applyBorder="1" applyAlignment="1">
      <alignment horizontal="center" vertical="center" wrapText="1"/>
    </xf>
    <xf numFmtId="0" fontId="0" fillId="0" borderId="59" xfId="0" applyBorder="1"/>
    <xf numFmtId="0" fontId="0" fillId="0" borderId="25" xfId="0" applyBorder="1"/>
    <xf numFmtId="0" fontId="0" fillId="0" borderId="61" xfId="0" applyBorder="1"/>
    <xf numFmtId="0" fontId="13" fillId="0" borderId="22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12" xfId="0" applyFont="1" applyBorder="1" applyAlignment="1">
      <alignment horizontal="left" vertical="center"/>
    </xf>
    <xf numFmtId="0" fontId="13" fillId="0" borderId="1" xfId="0" applyFont="1" applyBorder="1" applyAlignment="1">
      <alignment horizontal="left" vertical="center"/>
    </xf>
    <xf numFmtId="166" fontId="13" fillId="0" borderId="12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166" fontId="13" fillId="0" borderId="13" xfId="0" applyNumberFormat="1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166" fontId="13" fillId="0" borderId="1" xfId="0" applyNumberFormat="1" applyFont="1" applyBorder="1" applyAlignment="1">
      <alignment horizontal="center" vertical="center"/>
    </xf>
    <xf numFmtId="166" fontId="13" fillId="0" borderId="5" xfId="0" applyNumberFormat="1" applyFont="1" applyBorder="1" applyAlignment="1">
      <alignment horizontal="center" vertical="center"/>
    </xf>
    <xf numFmtId="0" fontId="13" fillId="0" borderId="8" xfId="0" applyFont="1" applyBorder="1" applyAlignment="1">
      <alignment horizontal="left" vertical="center"/>
    </xf>
    <xf numFmtId="0" fontId="20" fillId="0" borderId="50" xfId="0" applyFont="1" applyBorder="1" applyAlignment="1">
      <alignment horizontal="center"/>
    </xf>
    <xf numFmtId="0" fontId="20" fillId="0" borderId="52" xfId="0" applyFont="1" applyBorder="1" applyAlignment="1">
      <alignment horizontal="center"/>
    </xf>
    <xf numFmtId="0" fontId="13" fillId="0" borderId="9" xfId="0" applyFont="1" applyBorder="1" applyAlignment="1">
      <alignment horizontal="center" vertical="center"/>
    </xf>
    <xf numFmtId="0" fontId="13" fillId="0" borderId="10" xfId="0" applyFont="1" applyBorder="1" applyAlignment="1">
      <alignment horizontal="left" vertical="center"/>
    </xf>
    <xf numFmtId="166" fontId="13" fillId="0" borderId="7" xfId="0" applyNumberFormat="1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3" xfId="0" applyFont="1" applyBorder="1" applyAlignment="1">
      <alignment horizontal="left" vertical="center"/>
    </xf>
    <xf numFmtId="166" fontId="13" fillId="0" borderId="10" xfId="0" applyNumberFormat="1" applyFont="1" applyBorder="1" applyAlignment="1">
      <alignment horizontal="center" vertical="center"/>
    </xf>
    <xf numFmtId="166" fontId="13" fillId="0" borderId="31" xfId="0" applyNumberFormat="1" applyFont="1" applyBorder="1" applyAlignment="1">
      <alignment horizontal="center" vertical="center"/>
    </xf>
    <xf numFmtId="166" fontId="13" fillId="0" borderId="11" xfId="0" applyNumberFormat="1" applyFont="1" applyBorder="1" applyAlignment="1">
      <alignment horizontal="center" vertical="center"/>
    </xf>
    <xf numFmtId="166" fontId="13" fillId="0" borderId="20" xfId="0" applyNumberFormat="1" applyFont="1" applyBorder="1" applyAlignment="1">
      <alignment horizontal="center" vertical="center"/>
    </xf>
    <xf numFmtId="0" fontId="20" fillId="0" borderId="50" xfId="0" applyFont="1" applyFill="1" applyBorder="1" applyAlignment="1">
      <alignment horizontal="center"/>
    </xf>
    <xf numFmtId="0" fontId="20" fillId="0" borderId="52" xfId="0" applyFont="1" applyFill="1" applyBorder="1" applyAlignment="1">
      <alignment horizontal="center"/>
    </xf>
    <xf numFmtId="0" fontId="20" fillId="0" borderId="60" xfId="0" applyFont="1" applyFill="1" applyBorder="1" applyAlignment="1">
      <alignment horizontal="center" vertical="center"/>
    </xf>
    <xf numFmtId="0" fontId="20" fillId="0" borderId="63" xfId="0" applyFont="1" applyFill="1" applyBorder="1" applyAlignment="1">
      <alignment horizontal="center" vertical="center"/>
    </xf>
    <xf numFmtId="0" fontId="20" fillId="0" borderId="41" xfId="0" applyFont="1" applyFill="1" applyBorder="1" applyAlignment="1">
      <alignment horizontal="center" vertical="center"/>
    </xf>
    <xf numFmtId="0" fontId="4" fillId="0" borderId="35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18" fillId="0" borderId="26" xfId="0" applyFont="1" applyBorder="1" applyAlignment="1">
      <alignment horizontal="center" vertical="center" textRotation="90"/>
    </xf>
    <xf numFmtId="0" fontId="18" fillId="0" borderId="16" xfId="0" applyFont="1" applyBorder="1" applyAlignment="1">
      <alignment horizontal="center" vertical="center" textRotation="90"/>
    </xf>
    <xf numFmtId="0" fontId="18" fillId="0" borderId="17" xfId="0" applyFont="1" applyBorder="1" applyAlignment="1">
      <alignment horizontal="center" vertical="center" textRotation="90"/>
    </xf>
    <xf numFmtId="0" fontId="20" fillId="0" borderId="50" xfId="0" applyFont="1" applyBorder="1" applyAlignment="1">
      <alignment horizontal="center" vertical="center"/>
    </xf>
    <xf numFmtId="0" fontId="20" fillId="0" borderId="51" xfId="0" applyFont="1" applyBorder="1" applyAlignment="1">
      <alignment horizontal="center" vertical="center"/>
    </xf>
    <xf numFmtId="0" fontId="20" fillId="0" borderId="52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 wrapText="1"/>
    </xf>
    <xf numFmtId="0" fontId="1" fillId="0" borderId="41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1" fillId="0" borderId="33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0" fontId="10" fillId="0" borderId="30" xfId="0" applyFont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 wrapText="1"/>
    </xf>
    <xf numFmtId="0" fontId="1" fillId="0" borderId="39" xfId="0" applyFont="1" applyBorder="1" applyAlignment="1">
      <alignment horizontal="center" vertical="center" wrapText="1"/>
    </xf>
    <xf numFmtId="0" fontId="1" fillId="0" borderId="36" xfId="0" applyFont="1" applyBorder="1" applyAlignment="1">
      <alignment horizontal="center" vertical="center" wrapText="1"/>
    </xf>
    <xf numFmtId="0" fontId="1" fillId="0" borderId="37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20" fillId="0" borderId="47" xfId="0" applyFont="1" applyBorder="1" applyAlignment="1">
      <alignment horizontal="center" vertical="center"/>
    </xf>
    <xf numFmtId="0" fontId="20" fillId="0" borderId="48" xfId="0" applyFont="1" applyBorder="1" applyAlignment="1">
      <alignment horizontal="center" vertical="center"/>
    </xf>
    <xf numFmtId="0" fontId="1" fillId="0" borderId="42" xfId="0" applyFont="1" applyBorder="1" applyAlignment="1">
      <alignment horizontal="center" vertical="center" wrapText="1"/>
    </xf>
    <xf numFmtId="0" fontId="1" fillId="0" borderId="44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0" fillId="0" borderId="44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CC3399"/>
      <color rgb="FFF8A45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B050"/>
    <pageSetUpPr fitToPage="1"/>
  </sheetPr>
  <dimension ref="A1:M17"/>
  <sheetViews>
    <sheetView zoomScale="80" zoomScaleNormal="80" workbookViewId="0">
      <selection activeCell="L10" sqref="L10"/>
    </sheetView>
  </sheetViews>
  <sheetFormatPr defaultRowHeight="15"/>
  <cols>
    <col min="3" max="3" width="32.5703125" customWidth="1"/>
    <col min="4" max="4" width="8.42578125" customWidth="1"/>
    <col min="5" max="6" width="11.28515625" customWidth="1"/>
    <col min="7" max="7" width="3.85546875" customWidth="1"/>
    <col min="10" max="10" width="31.140625" customWidth="1"/>
    <col min="11" max="11" width="11.28515625" bestFit="1" customWidth="1"/>
    <col min="12" max="12" width="9.85546875" customWidth="1"/>
  </cols>
  <sheetData>
    <row r="1" spans="1:13" ht="26.25">
      <c r="A1" s="323" t="s">
        <v>115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</row>
    <row r="2" spans="1:13" ht="5.25" customHeight="1"/>
    <row r="3" spans="1:13" ht="19.5" customHeight="1">
      <c r="A3" s="324" t="s">
        <v>11</v>
      </c>
      <c r="B3" s="324"/>
      <c r="C3" s="324"/>
      <c r="D3" s="324"/>
      <c r="E3" s="324"/>
      <c r="F3" s="324"/>
      <c r="G3" s="324"/>
      <c r="H3" s="324"/>
      <c r="I3" s="324"/>
      <c r="J3" s="324"/>
      <c r="K3" s="324"/>
      <c r="L3" s="324"/>
      <c r="M3" s="324"/>
    </row>
    <row r="4" spans="1:13" ht="15.75" customHeight="1" thickBot="1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</row>
    <row r="5" spans="1:13" s="41" customFormat="1" ht="30" customHeight="1">
      <c r="A5" s="325" t="s">
        <v>9</v>
      </c>
      <c r="B5" s="327" t="s">
        <v>3</v>
      </c>
      <c r="C5" s="329" t="s">
        <v>2</v>
      </c>
      <c r="D5" s="329" t="s">
        <v>8</v>
      </c>
      <c r="E5" s="331" t="s">
        <v>10</v>
      </c>
      <c r="F5" s="333" t="s">
        <v>12</v>
      </c>
      <c r="G5" s="335"/>
      <c r="H5" s="325" t="s">
        <v>9</v>
      </c>
      <c r="I5" s="327" t="s">
        <v>3</v>
      </c>
      <c r="J5" s="329" t="s">
        <v>2</v>
      </c>
      <c r="K5" s="329" t="s">
        <v>8</v>
      </c>
      <c r="L5" s="329" t="s">
        <v>10</v>
      </c>
      <c r="M5" s="338" t="s">
        <v>12</v>
      </c>
    </row>
    <row r="6" spans="1:13" s="41" customFormat="1" ht="30" customHeight="1" thickBot="1">
      <c r="A6" s="326"/>
      <c r="B6" s="328"/>
      <c r="C6" s="330"/>
      <c r="D6" s="330"/>
      <c r="E6" s="332"/>
      <c r="F6" s="334"/>
      <c r="G6" s="336"/>
      <c r="H6" s="326"/>
      <c r="I6" s="328"/>
      <c r="J6" s="330"/>
      <c r="K6" s="330"/>
      <c r="L6" s="330"/>
      <c r="M6" s="339"/>
    </row>
    <row r="7" spans="1:13" s="2" customFormat="1" ht="37.15" customHeight="1">
      <c r="A7" s="325">
        <v>1</v>
      </c>
      <c r="B7" s="344" t="s">
        <v>15</v>
      </c>
      <c r="C7" s="215" t="s">
        <v>19</v>
      </c>
      <c r="D7" s="216" t="s">
        <v>116</v>
      </c>
      <c r="E7" s="217" t="s">
        <v>117</v>
      </c>
      <c r="F7" s="218" t="s">
        <v>118</v>
      </c>
      <c r="G7" s="336"/>
      <c r="H7" s="325">
        <v>5</v>
      </c>
      <c r="I7" s="345" t="s">
        <v>72</v>
      </c>
      <c r="J7" s="219" t="s">
        <v>21</v>
      </c>
      <c r="K7" s="216" t="s">
        <v>34</v>
      </c>
      <c r="L7" s="217" t="s">
        <v>119</v>
      </c>
      <c r="M7" s="218" t="s">
        <v>40</v>
      </c>
    </row>
    <row r="8" spans="1:13" s="2" customFormat="1" ht="36" customHeight="1" thickBot="1">
      <c r="A8" s="341"/>
      <c r="B8" s="343"/>
      <c r="C8" s="220" t="s">
        <v>110</v>
      </c>
      <c r="D8" s="221" t="s">
        <v>120</v>
      </c>
      <c r="E8" s="222" t="s">
        <v>121</v>
      </c>
      <c r="F8" s="223" t="s">
        <v>64</v>
      </c>
      <c r="G8" s="336"/>
      <c r="H8" s="341"/>
      <c r="I8" s="346"/>
      <c r="J8" s="224" t="s">
        <v>20</v>
      </c>
      <c r="K8" s="221" t="s">
        <v>35</v>
      </c>
      <c r="L8" s="222" t="s">
        <v>122</v>
      </c>
      <c r="M8" s="223" t="s">
        <v>123</v>
      </c>
    </row>
    <row r="9" spans="1:13" s="2" customFormat="1" ht="39.6" customHeight="1">
      <c r="A9" s="340">
        <v>2</v>
      </c>
      <c r="B9" s="342" t="s">
        <v>17</v>
      </c>
      <c r="C9" s="225" t="s">
        <v>16</v>
      </c>
      <c r="D9" s="226" t="s">
        <v>28</v>
      </c>
      <c r="E9" s="227" t="s">
        <v>124</v>
      </c>
      <c r="F9" s="228" t="s">
        <v>68</v>
      </c>
      <c r="G9" s="336"/>
      <c r="H9" s="325">
        <v>6</v>
      </c>
      <c r="I9" s="344" t="s">
        <v>125</v>
      </c>
      <c r="J9" s="219" t="s">
        <v>24</v>
      </c>
      <c r="K9" s="216" t="s">
        <v>126</v>
      </c>
      <c r="L9" s="217" t="s">
        <v>127</v>
      </c>
      <c r="M9" s="218" t="s">
        <v>128</v>
      </c>
    </row>
    <row r="10" spans="1:13" s="2" customFormat="1" ht="39.6" customHeight="1" thickBot="1">
      <c r="A10" s="341"/>
      <c r="B10" s="343"/>
      <c r="C10" s="220" t="s">
        <v>22</v>
      </c>
      <c r="D10" s="221" t="s">
        <v>29</v>
      </c>
      <c r="E10" s="222" t="s">
        <v>129</v>
      </c>
      <c r="F10" s="223" t="s">
        <v>130</v>
      </c>
      <c r="G10" s="336"/>
      <c r="H10" s="341"/>
      <c r="I10" s="343"/>
      <c r="J10" s="224" t="s">
        <v>23</v>
      </c>
      <c r="K10" s="221" t="s">
        <v>131</v>
      </c>
      <c r="L10" s="222" t="s">
        <v>119</v>
      </c>
      <c r="M10" s="223" t="s">
        <v>40</v>
      </c>
    </row>
    <row r="11" spans="1:13" s="2" customFormat="1" ht="42" customHeight="1">
      <c r="A11" s="325">
        <v>3</v>
      </c>
      <c r="B11" s="344" t="s">
        <v>18</v>
      </c>
      <c r="C11" s="215" t="s">
        <v>67</v>
      </c>
      <c r="D11" s="216" t="s">
        <v>30</v>
      </c>
      <c r="E11" s="217" t="s">
        <v>127</v>
      </c>
      <c r="F11" s="218" t="s">
        <v>128</v>
      </c>
      <c r="G11" s="336"/>
      <c r="H11" s="325">
        <v>7</v>
      </c>
      <c r="I11" s="344" t="s">
        <v>132</v>
      </c>
      <c r="J11" s="219" t="s">
        <v>70</v>
      </c>
      <c r="K11" s="216" t="s">
        <v>36</v>
      </c>
      <c r="L11" s="217" t="s">
        <v>133</v>
      </c>
      <c r="M11" s="218" t="s">
        <v>40</v>
      </c>
    </row>
    <row r="12" spans="1:13" s="2" customFormat="1" ht="40.9" customHeight="1">
      <c r="A12" s="341"/>
      <c r="B12" s="343"/>
      <c r="C12" s="220" t="s">
        <v>27</v>
      </c>
      <c r="D12" s="221" t="s">
        <v>31</v>
      </c>
      <c r="E12" s="222" t="s">
        <v>122</v>
      </c>
      <c r="F12" s="223" t="s">
        <v>123</v>
      </c>
      <c r="G12" s="336"/>
      <c r="H12" s="341"/>
      <c r="I12" s="343"/>
      <c r="J12" s="224" t="s">
        <v>109</v>
      </c>
      <c r="K12" s="221" t="s">
        <v>37</v>
      </c>
      <c r="L12" s="222" t="s">
        <v>134</v>
      </c>
      <c r="M12" s="223" t="s">
        <v>40</v>
      </c>
    </row>
    <row r="13" spans="1:13" s="2" customFormat="1" ht="38.450000000000003" customHeight="1">
      <c r="A13" s="340">
        <v>4</v>
      </c>
      <c r="B13" s="342" t="s">
        <v>61</v>
      </c>
      <c r="C13" s="225" t="s">
        <v>25</v>
      </c>
      <c r="D13" s="226" t="s">
        <v>32</v>
      </c>
      <c r="E13" s="227" t="s">
        <v>135</v>
      </c>
      <c r="F13" s="228" t="s">
        <v>40</v>
      </c>
      <c r="G13" s="336"/>
      <c r="H13" s="340">
        <v>8</v>
      </c>
      <c r="I13" s="353" t="s">
        <v>136</v>
      </c>
      <c r="J13" s="229" t="s">
        <v>108</v>
      </c>
      <c r="K13" s="226" t="s">
        <v>38</v>
      </c>
      <c r="L13" s="227" t="s">
        <v>124</v>
      </c>
      <c r="M13" s="228" t="s">
        <v>68</v>
      </c>
    </row>
    <row r="14" spans="1:13" s="2" customFormat="1" ht="39.6" customHeight="1">
      <c r="A14" s="341"/>
      <c r="B14" s="343"/>
      <c r="C14" s="220" t="s">
        <v>26</v>
      </c>
      <c r="D14" s="221" t="s">
        <v>33</v>
      </c>
      <c r="E14" s="222" t="s">
        <v>135</v>
      </c>
      <c r="F14" s="223" t="s">
        <v>40</v>
      </c>
      <c r="G14" s="336"/>
      <c r="H14" s="341"/>
      <c r="I14" s="354"/>
      <c r="J14" s="224" t="s">
        <v>107</v>
      </c>
      <c r="K14" s="221" t="s">
        <v>39</v>
      </c>
      <c r="L14" s="222" t="s">
        <v>137</v>
      </c>
      <c r="M14" s="223" t="s">
        <v>65</v>
      </c>
    </row>
    <row r="15" spans="1:13" s="2" customFormat="1" ht="30" hidden="1" customHeight="1">
      <c r="A15" s="341">
        <v>5</v>
      </c>
      <c r="B15" s="348"/>
      <c r="C15" s="230"/>
      <c r="D15" s="221"/>
      <c r="E15" s="222"/>
      <c r="F15" s="223"/>
      <c r="G15" s="336"/>
      <c r="H15" s="341"/>
      <c r="I15" s="350"/>
      <c r="J15" s="230"/>
      <c r="K15" s="221"/>
      <c r="L15" s="231"/>
      <c r="M15" s="232"/>
    </row>
    <row r="16" spans="1:13" s="2" customFormat="1" ht="30" hidden="1" customHeight="1">
      <c r="A16" s="341"/>
      <c r="B16" s="348"/>
      <c r="C16" s="230"/>
      <c r="D16" s="221"/>
      <c r="E16" s="222"/>
      <c r="F16" s="223"/>
      <c r="G16" s="336"/>
      <c r="H16" s="341"/>
      <c r="I16" s="351"/>
      <c r="J16" s="230"/>
      <c r="K16" s="221"/>
      <c r="L16" s="231"/>
      <c r="M16" s="232"/>
    </row>
    <row r="17" spans="1:13" s="2" customFormat="1" ht="30" hidden="1" customHeight="1" thickBot="1">
      <c r="A17" s="347"/>
      <c r="B17" s="349"/>
      <c r="C17" s="233"/>
      <c r="D17" s="234"/>
      <c r="E17" s="235"/>
      <c r="F17" s="236"/>
      <c r="G17" s="337"/>
      <c r="H17" s="347"/>
      <c r="I17" s="352"/>
      <c r="J17" s="233"/>
      <c r="K17" s="237"/>
      <c r="L17" s="238"/>
      <c r="M17" s="233"/>
    </row>
  </sheetData>
  <mergeCells count="35">
    <mergeCell ref="A15:A17"/>
    <mergeCell ref="B15:B17"/>
    <mergeCell ref="H15:H17"/>
    <mergeCell ref="I15:I17"/>
    <mergeCell ref="A11:A12"/>
    <mergeCell ref="B11:B12"/>
    <mergeCell ref="H11:H12"/>
    <mergeCell ref="I11:I12"/>
    <mergeCell ref="A13:A14"/>
    <mergeCell ref="B13:B14"/>
    <mergeCell ref="H13:H14"/>
    <mergeCell ref="I13:I14"/>
    <mergeCell ref="B9:B10"/>
    <mergeCell ref="H9:H10"/>
    <mergeCell ref="I9:I10"/>
    <mergeCell ref="A7:A8"/>
    <mergeCell ref="B7:B8"/>
    <mergeCell ref="H7:H8"/>
    <mergeCell ref="I7:I8"/>
    <mergeCell ref="A1:M1"/>
    <mergeCell ref="A3:M3"/>
    <mergeCell ref="A5:A6"/>
    <mergeCell ref="B5:B6"/>
    <mergeCell ref="C5:C6"/>
    <mergeCell ref="D5:D6"/>
    <mergeCell ref="E5:E6"/>
    <mergeCell ref="F5:F6"/>
    <mergeCell ref="G5:G17"/>
    <mergeCell ref="H5:H6"/>
    <mergeCell ref="I5:I6"/>
    <mergeCell ref="J5:J6"/>
    <mergeCell ref="K5:K6"/>
    <mergeCell ref="L5:L6"/>
    <mergeCell ref="M5:M6"/>
    <mergeCell ref="A9:A10"/>
  </mergeCells>
  <pageMargins left="0.31496062992125984" right="0.31496062992125984" top="0.15748031496062992" bottom="0.11811023622047245" header="0.31496062992125984" footer="0.31496062992125984"/>
  <pageSetup paperSize="9" scale="85" orientation="landscape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6"/>
  <sheetViews>
    <sheetView tabSelected="1" zoomScale="120" zoomScaleNormal="120" workbookViewId="0">
      <selection activeCell="B17" sqref="B17"/>
    </sheetView>
  </sheetViews>
  <sheetFormatPr defaultRowHeight="15"/>
  <cols>
    <col min="1" max="1" width="9.140625" style="41"/>
    <col min="2" max="2" width="19.5703125" style="41" customWidth="1"/>
    <col min="3" max="3" width="7.140625" style="41" customWidth="1"/>
    <col min="4" max="4" width="11.5703125" style="41" customWidth="1"/>
    <col min="5" max="5" width="7" style="41" customWidth="1"/>
    <col min="6" max="6" width="10.42578125" style="41" customWidth="1"/>
    <col min="7" max="7" width="16.7109375" style="41" customWidth="1"/>
    <col min="8" max="8" width="11.140625" style="41" customWidth="1"/>
    <col min="9" max="9" width="9" style="41" customWidth="1"/>
  </cols>
  <sheetData>
    <row r="1" spans="1:9" ht="19.5">
      <c r="A1" s="355" t="s">
        <v>150</v>
      </c>
      <c r="B1" s="355"/>
      <c r="C1" s="355"/>
      <c r="D1" s="355"/>
      <c r="E1" s="355"/>
      <c r="F1" s="355"/>
      <c r="G1" s="355"/>
      <c r="H1" s="355"/>
      <c r="I1" s="355"/>
    </row>
    <row r="2" spans="1:9" ht="17.25">
      <c r="A2" s="356" t="s">
        <v>151</v>
      </c>
      <c r="B2" s="356"/>
      <c r="C2" s="356"/>
      <c r="D2" s="356"/>
      <c r="E2" s="356"/>
      <c r="F2" s="356"/>
      <c r="G2" s="356"/>
      <c r="H2" s="356"/>
      <c r="I2" s="356"/>
    </row>
    <row r="3" spans="1:9" ht="6" customHeight="1" thickBot="1"/>
    <row r="4" spans="1:9" s="2" customFormat="1">
      <c r="A4" s="357" t="s">
        <v>41</v>
      </c>
      <c r="B4" s="359" t="s">
        <v>3</v>
      </c>
      <c r="C4" s="361" t="s">
        <v>42</v>
      </c>
      <c r="D4" s="357" t="s">
        <v>43</v>
      </c>
      <c r="E4" s="338"/>
      <c r="F4" s="363" t="s">
        <v>44</v>
      </c>
      <c r="G4" s="359"/>
      <c r="H4" s="357" t="s">
        <v>45</v>
      </c>
      <c r="I4" s="338"/>
    </row>
    <row r="5" spans="1:9" s="12" customFormat="1" ht="15.75" thickBot="1">
      <c r="A5" s="358"/>
      <c r="B5" s="360"/>
      <c r="C5" s="362"/>
      <c r="D5" s="38" t="s">
        <v>46</v>
      </c>
      <c r="E5" s="11" t="s">
        <v>41</v>
      </c>
      <c r="F5" s="8" t="s">
        <v>47</v>
      </c>
      <c r="G5" s="39" t="s">
        <v>48</v>
      </c>
      <c r="H5" s="38" t="s">
        <v>46</v>
      </c>
      <c r="I5" s="11" t="s">
        <v>49</v>
      </c>
    </row>
    <row r="6" spans="1:9" s="2" customFormat="1" ht="24.95" customHeight="1">
      <c r="A6" s="37">
        <v>1</v>
      </c>
      <c r="B6" s="13" t="s">
        <v>50</v>
      </c>
      <c r="C6" s="36">
        <v>6</v>
      </c>
      <c r="D6" s="14">
        <v>42.16</v>
      </c>
      <c r="E6" s="36">
        <v>4</v>
      </c>
      <c r="F6" s="40">
        <v>328</v>
      </c>
      <c r="G6" s="214" t="s">
        <v>139</v>
      </c>
      <c r="H6" s="37">
        <v>41.52</v>
      </c>
      <c r="I6" s="36">
        <v>94</v>
      </c>
    </row>
    <row r="7" spans="1:9" s="2" customFormat="1" ht="24.95" customHeight="1">
      <c r="A7" s="4">
        <v>2</v>
      </c>
      <c r="B7" s="15" t="s">
        <v>138</v>
      </c>
      <c r="C7" s="16">
        <v>1</v>
      </c>
      <c r="D7" s="4">
        <v>42.19</v>
      </c>
      <c r="E7" s="16">
        <v>5</v>
      </c>
      <c r="F7" s="7">
        <v>328</v>
      </c>
      <c r="G7" s="17">
        <v>30.52</v>
      </c>
      <c r="H7" s="272">
        <v>41.61</v>
      </c>
      <c r="I7" s="16">
        <v>107</v>
      </c>
    </row>
    <row r="8" spans="1:9" s="2" customFormat="1" ht="24.95" customHeight="1">
      <c r="A8" s="4">
        <v>3</v>
      </c>
      <c r="B8" s="15" t="s">
        <v>184</v>
      </c>
      <c r="C8" s="16">
        <v>8</v>
      </c>
      <c r="D8" s="4">
        <v>42.06</v>
      </c>
      <c r="E8" s="16">
        <v>2</v>
      </c>
      <c r="F8" s="7">
        <v>328</v>
      </c>
      <c r="G8" s="17">
        <v>40.83</v>
      </c>
      <c r="H8" s="18">
        <v>41.54</v>
      </c>
      <c r="I8" s="16">
        <v>151</v>
      </c>
    </row>
    <row r="9" spans="1:9" s="2" customFormat="1" ht="24.95" customHeight="1">
      <c r="A9" s="4">
        <v>4</v>
      </c>
      <c r="B9" s="15" t="s">
        <v>51</v>
      </c>
      <c r="C9" s="16">
        <v>2</v>
      </c>
      <c r="D9" s="42">
        <v>41.84</v>
      </c>
      <c r="E9" s="43">
        <v>1</v>
      </c>
      <c r="F9" s="7">
        <v>328</v>
      </c>
      <c r="G9" s="17">
        <v>41.47</v>
      </c>
      <c r="H9" s="321">
        <v>41.5</v>
      </c>
      <c r="I9" s="16">
        <v>297</v>
      </c>
    </row>
    <row r="10" spans="1:9" s="2" customFormat="1" ht="24.95" customHeight="1">
      <c r="A10" s="4">
        <v>5</v>
      </c>
      <c r="B10" s="15" t="s">
        <v>61</v>
      </c>
      <c r="C10" s="16">
        <v>4</v>
      </c>
      <c r="D10" s="322">
        <v>42.1</v>
      </c>
      <c r="E10" s="44">
        <v>3</v>
      </c>
      <c r="F10" s="7">
        <v>326</v>
      </c>
      <c r="G10" s="17" t="s">
        <v>54</v>
      </c>
      <c r="H10" s="34">
        <v>41.74</v>
      </c>
      <c r="I10" s="16">
        <v>53</v>
      </c>
    </row>
    <row r="11" spans="1:9" s="2" customFormat="1" ht="24.95" customHeight="1">
      <c r="A11" s="4">
        <v>6</v>
      </c>
      <c r="B11" s="15" t="s">
        <v>52</v>
      </c>
      <c r="C11" s="16">
        <v>5</v>
      </c>
      <c r="D11" s="4">
        <v>42.55</v>
      </c>
      <c r="E11" s="16">
        <v>7</v>
      </c>
      <c r="F11" s="7">
        <v>325</v>
      </c>
      <c r="G11" s="17" t="s">
        <v>111</v>
      </c>
      <c r="H11" s="4">
        <v>41.71</v>
      </c>
      <c r="I11" s="16">
        <v>249</v>
      </c>
    </row>
    <row r="12" spans="1:9" s="2" customFormat="1" ht="24.95" customHeight="1">
      <c r="A12" s="4">
        <v>7</v>
      </c>
      <c r="B12" s="15" t="s">
        <v>53</v>
      </c>
      <c r="C12" s="16">
        <v>3</v>
      </c>
      <c r="D12" s="4">
        <v>42.33</v>
      </c>
      <c r="E12" s="16">
        <v>6</v>
      </c>
      <c r="F12" s="7">
        <v>324</v>
      </c>
      <c r="G12" s="17" t="s">
        <v>112</v>
      </c>
      <c r="H12" s="4">
        <v>41.86</v>
      </c>
      <c r="I12" s="16">
        <v>230</v>
      </c>
    </row>
    <row r="13" spans="1:9" s="2" customFormat="1" ht="24.95" customHeight="1">
      <c r="A13" s="4">
        <v>8</v>
      </c>
      <c r="B13" s="19" t="s">
        <v>73</v>
      </c>
      <c r="C13" s="20">
        <v>7</v>
      </c>
      <c r="D13" s="5">
        <v>42.73</v>
      </c>
      <c r="E13" s="20">
        <v>8</v>
      </c>
      <c r="F13" s="21">
        <v>320</v>
      </c>
      <c r="G13" s="17" t="s">
        <v>140</v>
      </c>
      <c r="H13" s="5">
        <v>42.15</v>
      </c>
      <c r="I13" s="20">
        <v>11</v>
      </c>
    </row>
    <row r="16" spans="1:9">
      <c r="A16" s="45"/>
    </row>
  </sheetData>
  <mergeCells count="8">
    <mergeCell ref="A1:I1"/>
    <mergeCell ref="A2:I2"/>
    <mergeCell ref="A4:A5"/>
    <mergeCell ref="B4:B5"/>
    <mergeCell ref="C4:C5"/>
    <mergeCell ref="D4:E4"/>
    <mergeCell ref="F4:G4"/>
    <mergeCell ref="H4:I4"/>
  </mergeCells>
  <pageMargins left="0.70866141732283472" right="0.70866141732283472" top="0.74803149606299213" bottom="0.74803149606299213" header="0.31496062992125984" footer="0.31496062992125984"/>
  <pageSetup paperSize="9" scale="110" orientation="landscape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FFC000"/>
  </sheetPr>
  <dimension ref="A1:Q48"/>
  <sheetViews>
    <sheetView zoomScale="80" zoomScaleNormal="80" workbookViewId="0">
      <selection activeCell="N33" sqref="N33"/>
    </sheetView>
  </sheetViews>
  <sheetFormatPr defaultRowHeight="15"/>
  <cols>
    <col min="1" max="1" width="7.7109375" style="41" customWidth="1"/>
    <col min="2" max="2" width="20" customWidth="1"/>
    <col min="3" max="3" width="15.7109375" style="41" customWidth="1"/>
    <col min="4" max="4" width="12" style="41" customWidth="1"/>
    <col min="5" max="5" width="7.85546875" style="41" customWidth="1"/>
    <col min="6" max="6" width="4.7109375" customWidth="1"/>
    <col min="7" max="7" width="7.85546875" style="41" customWidth="1"/>
    <col min="8" max="8" width="20.5703125" customWidth="1"/>
    <col min="9" max="9" width="16.42578125" style="41" customWidth="1"/>
    <col min="10" max="10" width="12.140625" style="41" customWidth="1"/>
    <col min="11" max="11" width="8.140625" style="41" customWidth="1"/>
    <col min="12" max="12" width="6.140625" customWidth="1"/>
    <col min="13" max="13" width="7.85546875" style="41" customWidth="1"/>
    <col min="14" max="14" width="21.7109375" customWidth="1"/>
    <col min="15" max="15" width="17" style="41" customWidth="1"/>
    <col min="16" max="16" width="13" style="41" customWidth="1"/>
    <col min="17" max="17" width="8.7109375" style="41" customWidth="1"/>
  </cols>
  <sheetData>
    <row r="1" spans="1:17" ht="26.25">
      <c r="A1" s="323" t="s">
        <v>115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</row>
    <row r="2" spans="1:17" ht="4.5" customHeight="1"/>
    <row r="3" spans="1:17" ht="23.25">
      <c r="A3" s="372" t="s">
        <v>90</v>
      </c>
      <c r="B3" s="372"/>
      <c r="C3" s="372"/>
      <c r="D3" s="372"/>
      <c r="E3" s="372"/>
      <c r="F3" s="73"/>
      <c r="G3" s="372" t="s">
        <v>91</v>
      </c>
      <c r="H3" s="372"/>
      <c r="I3" s="372"/>
      <c r="J3" s="372"/>
      <c r="K3" s="372"/>
      <c r="M3" s="372" t="s">
        <v>92</v>
      </c>
      <c r="N3" s="372"/>
      <c r="O3" s="372"/>
      <c r="P3" s="372"/>
      <c r="Q3" s="372"/>
    </row>
    <row r="4" spans="1:17" ht="3.75" customHeight="1" thickBot="1"/>
    <row r="5" spans="1:17" s="75" customFormat="1" ht="16.5" customHeight="1">
      <c r="A5" s="368"/>
      <c r="B5" s="370" t="s">
        <v>2</v>
      </c>
      <c r="C5" s="373" t="s">
        <v>3</v>
      </c>
      <c r="D5" s="364" t="s">
        <v>75</v>
      </c>
      <c r="E5" s="366" t="s">
        <v>5</v>
      </c>
      <c r="F5" s="74"/>
      <c r="G5" s="368"/>
      <c r="H5" s="370" t="s">
        <v>2</v>
      </c>
      <c r="I5" s="373" t="s">
        <v>3</v>
      </c>
      <c r="J5" s="364" t="s">
        <v>93</v>
      </c>
      <c r="K5" s="366" t="s">
        <v>5</v>
      </c>
      <c r="M5" s="368"/>
      <c r="N5" s="370" t="s">
        <v>2</v>
      </c>
      <c r="O5" s="373" t="s">
        <v>3</v>
      </c>
      <c r="P5" s="364" t="s">
        <v>94</v>
      </c>
      <c r="Q5" s="366" t="s">
        <v>5</v>
      </c>
    </row>
    <row r="6" spans="1:17" s="75" customFormat="1" ht="19.149999999999999" customHeight="1" thickBot="1">
      <c r="A6" s="369"/>
      <c r="B6" s="371"/>
      <c r="C6" s="374"/>
      <c r="D6" s="365"/>
      <c r="E6" s="367"/>
      <c r="F6" s="74"/>
      <c r="G6" s="369"/>
      <c r="H6" s="371"/>
      <c r="I6" s="374"/>
      <c r="J6" s="365"/>
      <c r="K6" s="367"/>
      <c r="M6" s="369"/>
      <c r="N6" s="371"/>
      <c r="O6" s="374"/>
      <c r="P6" s="365"/>
      <c r="Q6" s="367"/>
    </row>
    <row r="7" spans="1:17" s="2" customFormat="1" ht="27.95" customHeight="1">
      <c r="A7" s="125">
        <v>1</v>
      </c>
      <c r="B7" s="128" t="s">
        <v>16</v>
      </c>
      <c r="C7" s="126" t="s">
        <v>17</v>
      </c>
      <c r="D7" s="303">
        <v>41.5</v>
      </c>
      <c r="E7" s="127">
        <v>1</v>
      </c>
      <c r="F7" s="76"/>
      <c r="G7" s="121">
        <v>1</v>
      </c>
      <c r="H7" s="122" t="s">
        <v>23</v>
      </c>
      <c r="I7" s="123" t="s">
        <v>81</v>
      </c>
      <c r="J7" s="287">
        <v>41.895925925925923</v>
      </c>
      <c r="K7" s="124">
        <v>3</v>
      </c>
      <c r="M7" s="294">
        <v>1</v>
      </c>
      <c r="N7" s="295" t="s">
        <v>16</v>
      </c>
      <c r="O7" s="296" t="s">
        <v>17</v>
      </c>
      <c r="P7" s="297">
        <v>0.20766666666666822</v>
      </c>
      <c r="Q7" s="298">
        <v>13</v>
      </c>
    </row>
    <row r="8" spans="1:17" s="2" customFormat="1" ht="27.95" customHeight="1">
      <c r="A8" s="92">
        <v>2</v>
      </c>
      <c r="B8" s="95" t="s">
        <v>23</v>
      </c>
      <c r="C8" s="93" t="s">
        <v>81</v>
      </c>
      <c r="D8" s="304">
        <v>41.52</v>
      </c>
      <c r="E8" s="96">
        <v>1</v>
      </c>
      <c r="F8" s="76"/>
      <c r="G8" s="81">
        <v>2</v>
      </c>
      <c r="H8" s="82" t="s">
        <v>108</v>
      </c>
      <c r="I8" s="83" t="s">
        <v>153</v>
      </c>
      <c r="J8" s="84">
        <v>41.919705882352943</v>
      </c>
      <c r="K8" s="85">
        <v>2</v>
      </c>
      <c r="M8" s="81">
        <v>2</v>
      </c>
      <c r="N8" s="82" t="s">
        <v>108</v>
      </c>
      <c r="O8" s="83" t="s">
        <v>153</v>
      </c>
      <c r="P8" s="91">
        <v>0.2244680851063876</v>
      </c>
      <c r="Q8" s="85">
        <v>11</v>
      </c>
    </row>
    <row r="9" spans="1:17" s="2" customFormat="1" ht="27.95" customHeight="1">
      <c r="A9" s="81">
        <v>3</v>
      </c>
      <c r="B9" s="82" t="s">
        <v>108</v>
      </c>
      <c r="C9" s="83" t="s">
        <v>153</v>
      </c>
      <c r="D9" s="305">
        <v>41.54</v>
      </c>
      <c r="E9" s="85">
        <v>2</v>
      </c>
      <c r="F9" s="76"/>
      <c r="G9" s="92">
        <v>3</v>
      </c>
      <c r="H9" s="95" t="s">
        <v>23</v>
      </c>
      <c r="I9" s="93" t="s">
        <v>81</v>
      </c>
      <c r="J9" s="283">
        <v>41.938382352941169</v>
      </c>
      <c r="K9" s="96">
        <v>1</v>
      </c>
      <c r="M9" s="81">
        <v>3</v>
      </c>
      <c r="N9" s="82" t="s">
        <v>108</v>
      </c>
      <c r="O9" s="83" t="s">
        <v>153</v>
      </c>
      <c r="P9" s="91">
        <v>0.24499999999999744</v>
      </c>
      <c r="Q9" s="85">
        <v>11</v>
      </c>
    </row>
    <row r="10" spans="1:17" s="2" customFormat="1" ht="27.95" customHeight="1">
      <c r="A10" s="86">
        <v>4</v>
      </c>
      <c r="B10" s="274" t="s">
        <v>19</v>
      </c>
      <c r="C10" s="275" t="s">
        <v>152</v>
      </c>
      <c r="D10" s="276">
        <v>41.61</v>
      </c>
      <c r="E10" s="277">
        <v>9</v>
      </c>
      <c r="F10" s="76"/>
      <c r="G10" s="125">
        <v>4</v>
      </c>
      <c r="H10" s="128" t="s">
        <v>16</v>
      </c>
      <c r="I10" s="126" t="s">
        <v>17</v>
      </c>
      <c r="J10" s="131">
        <v>41.9717543859649</v>
      </c>
      <c r="K10" s="127">
        <v>1</v>
      </c>
      <c r="M10" s="92">
        <v>4</v>
      </c>
      <c r="N10" s="95" t="s">
        <v>24</v>
      </c>
      <c r="O10" s="93" t="s">
        <v>81</v>
      </c>
      <c r="P10" s="293">
        <v>0.2469230769230677</v>
      </c>
      <c r="Q10" s="96">
        <v>13</v>
      </c>
    </row>
    <row r="11" spans="1:17" s="2" customFormat="1" ht="27.95" customHeight="1">
      <c r="A11" s="92">
        <v>5</v>
      </c>
      <c r="B11" s="95" t="s">
        <v>23</v>
      </c>
      <c r="C11" s="93" t="s">
        <v>81</v>
      </c>
      <c r="D11" s="283">
        <v>41.62</v>
      </c>
      <c r="E11" s="96">
        <v>3</v>
      </c>
      <c r="F11" s="76"/>
      <c r="G11" s="92">
        <v>5</v>
      </c>
      <c r="H11" s="95" t="s">
        <v>23</v>
      </c>
      <c r="I11" s="93" t="s">
        <v>81</v>
      </c>
      <c r="J11" s="283">
        <v>41.971818181818172</v>
      </c>
      <c r="K11" s="96">
        <v>7</v>
      </c>
      <c r="M11" s="92">
        <v>5</v>
      </c>
      <c r="N11" s="95" t="s">
        <v>23</v>
      </c>
      <c r="O11" s="93" t="s">
        <v>81</v>
      </c>
      <c r="P11" s="293">
        <v>0.25181818181817306</v>
      </c>
      <c r="Q11" s="96">
        <v>7</v>
      </c>
    </row>
    <row r="12" spans="1:17" s="2" customFormat="1" ht="27.95" customHeight="1">
      <c r="A12" s="125">
        <v>6</v>
      </c>
      <c r="B12" s="128" t="s">
        <v>22</v>
      </c>
      <c r="C12" s="126" t="s">
        <v>17</v>
      </c>
      <c r="D12" s="301">
        <v>41.64</v>
      </c>
      <c r="E12" s="127">
        <v>2</v>
      </c>
      <c r="F12" s="76"/>
      <c r="G12" s="81">
        <v>6</v>
      </c>
      <c r="H12" s="82" t="s">
        <v>108</v>
      </c>
      <c r="I12" s="83" t="s">
        <v>153</v>
      </c>
      <c r="J12" s="84">
        <v>41.972500000000011</v>
      </c>
      <c r="K12" s="85">
        <v>9</v>
      </c>
      <c r="M12" s="86">
        <v>6</v>
      </c>
      <c r="N12" s="274" t="s">
        <v>110</v>
      </c>
      <c r="O12" s="275" t="s">
        <v>152</v>
      </c>
      <c r="P12" s="286">
        <v>0.25882352941176379</v>
      </c>
      <c r="Q12" s="277">
        <v>14</v>
      </c>
    </row>
    <row r="13" spans="1:17" s="2" customFormat="1" ht="27.95" customHeight="1">
      <c r="A13" s="81">
        <v>7</v>
      </c>
      <c r="B13" s="82" t="s">
        <v>108</v>
      </c>
      <c r="C13" s="83" t="s">
        <v>153</v>
      </c>
      <c r="D13" s="84">
        <v>41.7</v>
      </c>
      <c r="E13" s="85">
        <v>9</v>
      </c>
      <c r="F13" s="76"/>
      <c r="G13" s="86">
        <v>7</v>
      </c>
      <c r="H13" s="278" t="s">
        <v>19</v>
      </c>
      <c r="I13" s="275" t="s">
        <v>152</v>
      </c>
      <c r="J13" s="279">
        <v>41.98477611940298</v>
      </c>
      <c r="K13" s="277">
        <v>9</v>
      </c>
      <c r="M13" s="81">
        <v>7</v>
      </c>
      <c r="N13" s="82" t="s">
        <v>108</v>
      </c>
      <c r="O13" s="83" t="s">
        <v>153</v>
      </c>
      <c r="P13" s="91">
        <v>0.27250000000000796</v>
      </c>
      <c r="Q13" s="85">
        <v>9</v>
      </c>
    </row>
    <row r="14" spans="1:17" s="2" customFormat="1" ht="27.95" customHeight="1">
      <c r="A14" s="92">
        <v>8</v>
      </c>
      <c r="B14" s="95" t="s">
        <v>23</v>
      </c>
      <c r="C14" s="93" t="s">
        <v>81</v>
      </c>
      <c r="D14" s="283">
        <v>41.7</v>
      </c>
      <c r="E14" s="96">
        <v>2</v>
      </c>
      <c r="F14" s="76"/>
      <c r="G14" s="125">
        <v>8</v>
      </c>
      <c r="H14" s="128" t="s">
        <v>22</v>
      </c>
      <c r="I14" s="126" t="s">
        <v>17</v>
      </c>
      <c r="J14" s="131">
        <v>42.017755102040816</v>
      </c>
      <c r="K14" s="127">
        <v>2</v>
      </c>
      <c r="M14" s="92">
        <v>8</v>
      </c>
      <c r="N14" s="95" t="s">
        <v>23</v>
      </c>
      <c r="O14" s="93" t="s">
        <v>81</v>
      </c>
      <c r="P14" s="293">
        <v>0.27592592592592524</v>
      </c>
      <c r="Q14" s="96">
        <v>3</v>
      </c>
    </row>
    <row r="15" spans="1:17" s="2" customFormat="1" ht="27.95" customHeight="1">
      <c r="A15" s="117">
        <v>9</v>
      </c>
      <c r="B15" s="118" t="s">
        <v>20</v>
      </c>
      <c r="C15" s="119" t="s">
        <v>72</v>
      </c>
      <c r="D15" s="306">
        <v>41.71</v>
      </c>
      <c r="E15" s="120">
        <v>1</v>
      </c>
      <c r="F15" s="76"/>
      <c r="G15" s="92">
        <v>9</v>
      </c>
      <c r="H15" s="95" t="s">
        <v>23</v>
      </c>
      <c r="I15" s="93" t="s">
        <v>81</v>
      </c>
      <c r="J15" s="283">
        <v>42.022173913043488</v>
      </c>
      <c r="K15" s="96">
        <v>2</v>
      </c>
      <c r="M15" s="86">
        <v>9</v>
      </c>
      <c r="N15" s="274" t="s">
        <v>110</v>
      </c>
      <c r="O15" s="275" t="s">
        <v>152</v>
      </c>
      <c r="P15" s="286">
        <v>0.28365853658536366</v>
      </c>
      <c r="Q15" s="277">
        <v>3</v>
      </c>
    </row>
    <row r="16" spans="1:17" s="2" customFormat="1" ht="27.95" customHeight="1">
      <c r="A16" s="92">
        <v>10</v>
      </c>
      <c r="B16" s="95" t="s">
        <v>23</v>
      </c>
      <c r="C16" s="93" t="s">
        <v>81</v>
      </c>
      <c r="D16" s="283">
        <v>41.72</v>
      </c>
      <c r="E16" s="96">
        <v>7</v>
      </c>
      <c r="F16" s="76"/>
      <c r="G16" s="77">
        <v>10</v>
      </c>
      <c r="H16" s="78" t="s">
        <v>25</v>
      </c>
      <c r="I16" s="79" t="s">
        <v>88</v>
      </c>
      <c r="J16" s="94">
        <v>42.04948717948718</v>
      </c>
      <c r="K16" s="80">
        <v>3</v>
      </c>
      <c r="M16" s="86">
        <v>10</v>
      </c>
      <c r="N16" s="274" t="s">
        <v>19</v>
      </c>
      <c r="O16" s="275" t="s">
        <v>152</v>
      </c>
      <c r="P16" s="286">
        <v>0.2857142857142918</v>
      </c>
      <c r="Q16" s="277">
        <v>12</v>
      </c>
    </row>
    <row r="17" spans="1:17" s="2" customFormat="1" ht="27.95" customHeight="1">
      <c r="A17" s="86">
        <v>11</v>
      </c>
      <c r="B17" s="274" t="s">
        <v>19</v>
      </c>
      <c r="C17" s="275" t="s">
        <v>152</v>
      </c>
      <c r="D17" s="284">
        <v>41.74</v>
      </c>
      <c r="E17" s="277">
        <v>21</v>
      </c>
      <c r="F17" s="76"/>
      <c r="G17" s="81">
        <v>11</v>
      </c>
      <c r="H17" s="82" t="s">
        <v>107</v>
      </c>
      <c r="I17" s="83" t="s">
        <v>153</v>
      </c>
      <c r="J17" s="84">
        <v>42.0903448275862</v>
      </c>
      <c r="K17" s="85">
        <v>7</v>
      </c>
      <c r="M17" s="125">
        <v>11</v>
      </c>
      <c r="N17" s="128" t="s">
        <v>22</v>
      </c>
      <c r="O17" s="126" t="s">
        <v>17</v>
      </c>
      <c r="P17" s="130">
        <v>0.2873684210526406</v>
      </c>
      <c r="Q17" s="127">
        <v>15</v>
      </c>
    </row>
    <row r="18" spans="1:17" s="2" customFormat="1" ht="27.95" customHeight="1">
      <c r="A18" s="77">
        <v>12</v>
      </c>
      <c r="B18" s="78" t="s">
        <v>26</v>
      </c>
      <c r="C18" s="79" t="s">
        <v>88</v>
      </c>
      <c r="D18" s="308">
        <v>41.74</v>
      </c>
      <c r="E18" s="80">
        <v>1</v>
      </c>
      <c r="F18" s="76"/>
      <c r="G18" s="86">
        <v>12</v>
      </c>
      <c r="H18" s="274" t="s">
        <v>19</v>
      </c>
      <c r="I18" s="275" t="s">
        <v>152</v>
      </c>
      <c r="J18" s="279">
        <v>42.092000000000006</v>
      </c>
      <c r="K18" s="277">
        <v>21</v>
      </c>
      <c r="M18" s="117">
        <v>12</v>
      </c>
      <c r="N18" s="118" t="s">
        <v>21</v>
      </c>
      <c r="O18" s="119" t="s">
        <v>72</v>
      </c>
      <c r="P18" s="139">
        <v>0.29578947368420927</v>
      </c>
      <c r="Q18" s="120">
        <v>13</v>
      </c>
    </row>
    <row r="19" spans="1:17" s="2" customFormat="1" ht="27.95" customHeight="1">
      <c r="A19" s="77">
        <v>13</v>
      </c>
      <c r="B19" s="78" t="s">
        <v>25</v>
      </c>
      <c r="C19" s="79" t="s">
        <v>88</v>
      </c>
      <c r="D19" s="307">
        <v>41.75</v>
      </c>
      <c r="E19" s="80">
        <v>3</v>
      </c>
      <c r="F19" s="76"/>
      <c r="G19" s="117">
        <v>13</v>
      </c>
      <c r="H19" s="118" t="s">
        <v>20</v>
      </c>
      <c r="I19" s="119" t="s">
        <v>72</v>
      </c>
      <c r="J19" s="285">
        <v>42.109782608695653</v>
      </c>
      <c r="K19" s="120">
        <v>1</v>
      </c>
      <c r="M19" s="77">
        <v>13</v>
      </c>
      <c r="N19" s="78" t="s">
        <v>25</v>
      </c>
      <c r="O19" s="79" t="s">
        <v>88</v>
      </c>
      <c r="P19" s="90">
        <v>0.29838235294118221</v>
      </c>
      <c r="Q19" s="80">
        <v>9</v>
      </c>
    </row>
    <row r="20" spans="1:17" s="2" customFormat="1" ht="27.95" customHeight="1">
      <c r="A20" s="81">
        <v>14</v>
      </c>
      <c r="B20" s="82" t="s">
        <v>107</v>
      </c>
      <c r="C20" s="83" t="s">
        <v>153</v>
      </c>
      <c r="D20" s="302">
        <v>41.75</v>
      </c>
      <c r="E20" s="85">
        <v>7</v>
      </c>
      <c r="F20" s="76"/>
      <c r="G20" s="92">
        <v>14</v>
      </c>
      <c r="H20" s="95" t="s">
        <v>24</v>
      </c>
      <c r="I20" s="93" t="s">
        <v>81</v>
      </c>
      <c r="J20" s="283">
        <v>42.15862068965518</v>
      </c>
      <c r="K20" s="96">
        <v>21</v>
      </c>
      <c r="M20" s="77">
        <v>14</v>
      </c>
      <c r="N20" s="78" t="s">
        <v>25</v>
      </c>
      <c r="O20" s="79" t="s">
        <v>88</v>
      </c>
      <c r="P20" s="90">
        <v>0.29948717948717984</v>
      </c>
      <c r="Q20" s="80">
        <v>3</v>
      </c>
    </row>
    <row r="21" spans="1:17" s="2" customFormat="1" ht="27.95" customHeight="1" thickBot="1">
      <c r="A21" s="101">
        <v>15</v>
      </c>
      <c r="B21" s="102" t="s">
        <v>24</v>
      </c>
      <c r="C21" s="103" t="s">
        <v>81</v>
      </c>
      <c r="D21" s="309">
        <v>41.77</v>
      </c>
      <c r="E21" s="104">
        <v>21</v>
      </c>
      <c r="F21" s="97"/>
      <c r="G21" s="288">
        <v>15</v>
      </c>
      <c r="H21" s="289" t="s">
        <v>16</v>
      </c>
      <c r="I21" s="290" t="s">
        <v>17</v>
      </c>
      <c r="J21" s="291">
        <v>42.167666666666669</v>
      </c>
      <c r="K21" s="292">
        <v>13</v>
      </c>
      <c r="M21" s="280">
        <v>15</v>
      </c>
      <c r="N21" s="299" t="s">
        <v>19</v>
      </c>
      <c r="O21" s="281" t="s">
        <v>152</v>
      </c>
      <c r="P21" s="300">
        <v>0.31199999999999051</v>
      </c>
      <c r="Q21" s="282">
        <v>9</v>
      </c>
    </row>
    <row r="22" spans="1:17" s="112" customFormat="1" ht="21.75" customHeight="1">
      <c r="A22" s="105">
        <v>40.79</v>
      </c>
      <c r="B22" s="106" t="s">
        <v>95</v>
      </c>
      <c r="C22" s="107"/>
      <c r="D22" s="108"/>
      <c r="E22" s="109"/>
      <c r="F22" s="110"/>
      <c r="G22" s="111">
        <v>40.869999999999997</v>
      </c>
      <c r="H22" s="106" t="s">
        <v>96</v>
      </c>
      <c r="I22" s="107"/>
      <c r="J22" s="108"/>
      <c r="K22" s="109"/>
      <c r="M22" s="134" t="s">
        <v>97</v>
      </c>
      <c r="N22" s="135"/>
      <c r="O22" s="136"/>
      <c r="P22" s="137"/>
      <c r="Q22" s="138"/>
    </row>
    <row r="23" spans="1:17" ht="8.25" customHeight="1"/>
    <row r="24" spans="1:17" ht="19.5">
      <c r="A24" s="113" t="s">
        <v>171</v>
      </c>
      <c r="G24" s="114"/>
    </row>
    <row r="25" spans="1:17" ht="19.5">
      <c r="A25" s="113" t="s">
        <v>172</v>
      </c>
      <c r="G25" s="114"/>
      <c r="M25" s="114"/>
    </row>
    <row r="26" spans="1:17" ht="8.25" customHeight="1">
      <c r="A26" s="113"/>
      <c r="G26" s="114"/>
      <c r="M26" s="114"/>
    </row>
    <row r="27" spans="1:17" ht="19.5">
      <c r="A27" s="113" t="s">
        <v>173</v>
      </c>
      <c r="M27" s="114"/>
    </row>
    <row r="28" spans="1:17" ht="19.5">
      <c r="A28" s="113" t="s">
        <v>174</v>
      </c>
      <c r="M28" s="114"/>
    </row>
    <row r="29" spans="1:17" ht="19.5">
      <c r="A29" s="113" t="s">
        <v>175</v>
      </c>
      <c r="M29" s="114"/>
    </row>
    <row r="30" spans="1:17" ht="6.75" customHeight="1">
      <c r="A30" s="113"/>
    </row>
    <row r="31" spans="1:17" ht="16.5" customHeight="1">
      <c r="A31" s="113" t="s">
        <v>177</v>
      </c>
    </row>
    <row r="32" spans="1:17" ht="18.75">
      <c r="A32" s="113" t="s">
        <v>185</v>
      </c>
    </row>
    <row r="33" spans="1:1" ht="18.75">
      <c r="A33" s="113" t="s">
        <v>176</v>
      </c>
    </row>
    <row r="34" spans="1:1" ht="5.25" customHeight="1"/>
    <row r="35" spans="1:1" ht="18.75">
      <c r="A35" s="113"/>
    </row>
    <row r="36" spans="1:1" ht="18.75">
      <c r="A36" s="113" t="s">
        <v>178</v>
      </c>
    </row>
    <row r="37" spans="1:1" ht="18.75">
      <c r="A37" s="113" t="s">
        <v>179</v>
      </c>
    </row>
    <row r="38" spans="1:1" ht="18.75">
      <c r="A38" s="113" t="s">
        <v>183</v>
      </c>
    </row>
    <row r="39" spans="1:1" ht="18.75">
      <c r="A39" s="113" t="s">
        <v>180</v>
      </c>
    </row>
    <row r="40" spans="1:1" ht="18.75">
      <c r="A40" s="113" t="s">
        <v>181</v>
      </c>
    </row>
    <row r="42" spans="1:1" ht="18.75">
      <c r="A42" s="113"/>
    </row>
    <row r="43" spans="1:1" ht="18.75">
      <c r="A43" s="113"/>
    </row>
    <row r="44" spans="1:1" ht="18.75">
      <c r="A44" s="113"/>
    </row>
    <row r="45" spans="1:1" ht="18.75">
      <c r="A45" s="113"/>
    </row>
    <row r="46" spans="1:1" ht="18.75">
      <c r="A46" s="113"/>
    </row>
    <row r="47" spans="1:1" ht="18.75">
      <c r="A47" s="113"/>
    </row>
    <row r="48" spans="1:1" ht="18.75">
      <c r="A48" s="113"/>
    </row>
  </sheetData>
  <mergeCells count="19">
    <mergeCell ref="Q5:Q6"/>
    <mergeCell ref="H5:H6"/>
    <mergeCell ref="I5:I6"/>
    <mergeCell ref="J5:J6"/>
    <mergeCell ref="K5:K6"/>
    <mergeCell ref="M5:M6"/>
    <mergeCell ref="N5:N6"/>
    <mergeCell ref="A1:Q1"/>
    <mergeCell ref="A3:E3"/>
    <mergeCell ref="G3:K3"/>
    <mergeCell ref="M3:Q3"/>
    <mergeCell ref="A5:A6"/>
    <mergeCell ref="B5:B6"/>
    <mergeCell ref="C5:C6"/>
    <mergeCell ref="D5:D6"/>
    <mergeCell ref="E5:E6"/>
    <mergeCell ref="G5:G6"/>
    <mergeCell ref="O5:O6"/>
    <mergeCell ref="P5:P6"/>
  </mergeCells>
  <pageMargins left="0.70866141732283472" right="0.51181102362204722" top="0.35433070866141736" bottom="0.15748031496062992" header="0.31496062992125984" footer="0.31496062992125984"/>
  <pageSetup paperSize="9" orientation="landscape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5" tint="0.79998168889431442"/>
  </sheetPr>
  <dimension ref="A1:N28"/>
  <sheetViews>
    <sheetView zoomScale="80" zoomScaleNormal="80" workbookViewId="0">
      <selection activeCell="O17" sqref="O17"/>
    </sheetView>
  </sheetViews>
  <sheetFormatPr defaultRowHeight="15"/>
  <cols>
    <col min="1" max="1" width="6" customWidth="1"/>
    <col min="2" max="2" width="20.42578125" customWidth="1"/>
    <col min="3" max="3" width="16.140625" style="41" customWidth="1"/>
    <col min="4" max="4" width="11.85546875" style="140" customWidth="1"/>
    <col min="5" max="5" width="11" style="41" customWidth="1"/>
    <col min="6" max="6" width="2.140625" customWidth="1"/>
    <col min="7" max="7" width="6" customWidth="1"/>
    <col min="8" max="8" width="20.42578125" customWidth="1"/>
    <col min="9" max="9" width="16.28515625" style="41" customWidth="1"/>
    <col min="10" max="10" width="11.7109375" style="41" customWidth="1"/>
    <col min="11" max="11" width="11.42578125" style="41" customWidth="1"/>
    <col min="12" max="12" width="2.28515625" customWidth="1"/>
  </cols>
  <sheetData>
    <row r="1" spans="1:14" ht="26.25">
      <c r="A1" s="323" t="s">
        <v>115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</row>
    <row r="2" spans="1:14" ht="4.5" customHeight="1">
      <c r="A2" s="41"/>
      <c r="G2" s="41"/>
    </row>
    <row r="3" spans="1:14" ht="23.25">
      <c r="A3" s="372" t="s">
        <v>154</v>
      </c>
      <c r="B3" s="372"/>
      <c r="C3" s="372"/>
      <c r="D3" s="372"/>
      <c r="E3" s="372"/>
      <c r="F3" s="372"/>
      <c r="G3" s="372"/>
      <c r="H3" s="372"/>
      <c r="I3" s="372"/>
      <c r="J3" s="372"/>
      <c r="K3" s="372"/>
    </row>
    <row r="4" spans="1:14" ht="7.5" customHeight="1" thickBot="1"/>
    <row r="5" spans="1:14" s="75" customFormat="1" ht="20.25" customHeight="1">
      <c r="A5" s="381" t="s">
        <v>86</v>
      </c>
      <c r="B5" s="370" t="s">
        <v>2</v>
      </c>
      <c r="C5" s="373" t="s">
        <v>3</v>
      </c>
      <c r="D5" s="383" t="s">
        <v>75</v>
      </c>
      <c r="E5" s="366" t="s">
        <v>98</v>
      </c>
      <c r="F5" s="385"/>
      <c r="G5" s="381" t="s">
        <v>86</v>
      </c>
      <c r="H5" s="370" t="s">
        <v>2</v>
      </c>
      <c r="I5" s="373" t="s">
        <v>3</v>
      </c>
      <c r="J5" s="383" t="s">
        <v>75</v>
      </c>
      <c r="K5" s="366" t="s">
        <v>98</v>
      </c>
    </row>
    <row r="6" spans="1:14" s="75" customFormat="1" ht="18.75" customHeight="1" thickBot="1">
      <c r="A6" s="382"/>
      <c r="B6" s="371"/>
      <c r="C6" s="374"/>
      <c r="D6" s="384"/>
      <c r="E6" s="367"/>
      <c r="F6" s="386"/>
      <c r="G6" s="382"/>
      <c r="H6" s="371"/>
      <c r="I6" s="374"/>
      <c r="J6" s="384"/>
      <c r="K6" s="367"/>
    </row>
    <row r="7" spans="1:14" s="2" customFormat="1" ht="21.95" customHeight="1">
      <c r="A7" s="375">
        <v>1</v>
      </c>
      <c r="B7" s="115" t="s">
        <v>16</v>
      </c>
      <c r="C7" s="116" t="s">
        <v>17</v>
      </c>
      <c r="D7" s="129">
        <v>41.5</v>
      </c>
      <c r="E7" s="378">
        <f>AVERAGE(D7:D9)</f>
        <v>41.576666666666675</v>
      </c>
      <c r="F7" s="386"/>
      <c r="G7" s="375">
        <v>14</v>
      </c>
      <c r="H7" s="146" t="s">
        <v>16</v>
      </c>
      <c r="I7" s="116" t="s">
        <v>17</v>
      </c>
      <c r="J7" s="116">
        <v>41.85</v>
      </c>
      <c r="K7" s="378">
        <f>AVERAGE(J7:J9)</f>
        <v>41.953333333333326</v>
      </c>
      <c r="M7" s="141" t="s">
        <v>186</v>
      </c>
    </row>
    <row r="8" spans="1:14" s="2" customFormat="1" ht="21.95" customHeight="1">
      <c r="A8" s="376"/>
      <c r="B8" s="87" t="s">
        <v>23</v>
      </c>
      <c r="C8" s="88" t="s">
        <v>81</v>
      </c>
      <c r="D8" s="88">
        <v>41.52</v>
      </c>
      <c r="E8" s="379"/>
      <c r="F8" s="386"/>
      <c r="G8" s="376"/>
      <c r="H8" s="87" t="s">
        <v>22</v>
      </c>
      <c r="I8" s="88" t="s">
        <v>17</v>
      </c>
      <c r="J8" s="88">
        <v>41.97</v>
      </c>
      <c r="K8" s="379"/>
      <c r="M8" s="141" t="s">
        <v>155</v>
      </c>
    </row>
    <row r="9" spans="1:14" s="2" customFormat="1" ht="21.95" customHeight="1" thickBot="1">
      <c r="A9" s="377"/>
      <c r="B9" s="98" t="s">
        <v>20</v>
      </c>
      <c r="C9" s="99" t="s">
        <v>72</v>
      </c>
      <c r="D9" s="100">
        <v>41.71</v>
      </c>
      <c r="E9" s="380"/>
      <c r="F9" s="386"/>
      <c r="G9" s="377"/>
      <c r="H9" s="98" t="s">
        <v>22</v>
      </c>
      <c r="I9" s="99" t="s">
        <v>17</v>
      </c>
      <c r="J9" s="99">
        <v>42.04</v>
      </c>
      <c r="K9" s="380"/>
      <c r="M9" s="141" t="s">
        <v>187</v>
      </c>
    </row>
    <row r="10" spans="1:14" s="2" customFormat="1" ht="21.95" customHeight="1">
      <c r="A10" s="376">
        <v>2</v>
      </c>
      <c r="B10" s="87" t="s">
        <v>108</v>
      </c>
      <c r="C10" s="88" t="s">
        <v>153</v>
      </c>
      <c r="D10" s="88">
        <v>41.54</v>
      </c>
      <c r="E10" s="379">
        <f>AVERAGE(D10:D12)</f>
        <v>41.626666666666672</v>
      </c>
      <c r="F10" s="386"/>
      <c r="G10" s="375">
        <v>13</v>
      </c>
      <c r="H10" s="115" t="s">
        <v>21</v>
      </c>
      <c r="I10" s="116" t="s">
        <v>72</v>
      </c>
      <c r="J10" s="116">
        <v>41.93</v>
      </c>
      <c r="K10" s="378">
        <f>AVERAGE(J10:J12)</f>
        <v>41.96</v>
      </c>
      <c r="M10" s="141"/>
    </row>
    <row r="11" spans="1:14" s="2" customFormat="1" ht="21.95" customHeight="1">
      <c r="A11" s="376"/>
      <c r="B11" s="87" t="s">
        <v>22</v>
      </c>
      <c r="C11" s="88" t="s">
        <v>17</v>
      </c>
      <c r="D11" s="88">
        <v>41.64</v>
      </c>
      <c r="E11" s="379"/>
      <c r="F11" s="386"/>
      <c r="G11" s="376"/>
      <c r="H11" s="87" t="s">
        <v>16</v>
      </c>
      <c r="I11" s="88" t="s">
        <v>17</v>
      </c>
      <c r="J11" s="88">
        <v>41.96</v>
      </c>
      <c r="K11" s="379"/>
      <c r="M11" s="143" t="s">
        <v>188</v>
      </c>
    </row>
    <row r="12" spans="1:14" s="2" customFormat="1" ht="21.95" customHeight="1" thickBot="1">
      <c r="A12" s="376"/>
      <c r="B12" s="132" t="s">
        <v>23</v>
      </c>
      <c r="C12" s="133" t="s">
        <v>81</v>
      </c>
      <c r="D12" s="311">
        <v>41.7</v>
      </c>
      <c r="E12" s="379"/>
      <c r="F12" s="386"/>
      <c r="G12" s="377"/>
      <c r="H12" s="98" t="s">
        <v>24</v>
      </c>
      <c r="I12" s="99" t="s">
        <v>81</v>
      </c>
      <c r="J12" s="99">
        <v>41.99</v>
      </c>
      <c r="K12" s="380"/>
      <c r="M12" s="141" t="s">
        <v>156</v>
      </c>
    </row>
    <row r="13" spans="1:14" s="2" customFormat="1" ht="21.95" customHeight="1">
      <c r="A13" s="375">
        <v>9</v>
      </c>
      <c r="B13" s="115" t="s">
        <v>19</v>
      </c>
      <c r="C13" s="116" t="s">
        <v>152</v>
      </c>
      <c r="D13" s="116">
        <v>41.61</v>
      </c>
      <c r="E13" s="378">
        <f>AVERAGE(D13:D15)</f>
        <v>41.736666666666672</v>
      </c>
      <c r="F13" s="386"/>
      <c r="G13" s="375">
        <v>5</v>
      </c>
      <c r="H13" s="115" t="s">
        <v>16</v>
      </c>
      <c r="I13" s="116" t="s">
        <v>17</v>
      </c>
      <c r="J13" s="116">
        <v>41.98</v>
      </c>
      <c r="K13" s="378">
        <f>AVERAGE(J13:J15)</f>
        <v>42.103333333333332</v>
      </c>
      <c r="M13" s="141" t="s">
        <v>157</v>
      </c>
    </row>
    <row r="14" spans="1:14" s="2" customFormat="1" ht="21.95" customHeight="1">
      <c r="A14" s="376"/>
      <c r="B14" s="87" t="s">
        <v>108</v>
      </c>
      <c r="C14" s="88" t="s">
        <v>153</v>
      </c>
      <c r="D14" s="89">
        <v>41.7</v>
      </c>
      <c r="E14" s="379"/>
      <c r="F14" s="386"/>
      <c r="G14" s="376"/>
      <c r="H14" s="87" t="s">
        <v>24</v>
      </c>
      <c r="I14" s="88" t="s">
        <v>81</v>
      </c>
      <c r="J14" s="89">
        <v>42.01</v>
      </c>
      <c r="K14" s="379"/>
      <c r="M14" s="141" t="s">
        <v>158</v>
      </c>
    </row>
    <row r="15" spans="1:14" s="2" customFormat="1" ht="21.95" customHeight="1" thickBot="1">
      <c r="A15" s="377"/>
      <c r="B15" s="98" t="s">
        <v>19</v>
      </c>
      <c r="C15" s="99" t="s">
        <v>152</v>
      </c>
      <c r="D15" s="100">
        <v>41.9</v>
      </c>
      <c r="E15" s="380"/>
      <c r="F15" s="386"/>
      <c r="G15" s="377"/>
      <c r="H15" s="98" t="s">
        <v>25</v>
      </c>
      <c r="I15" s="99" t="s">
        <v>88</v>
      </c>
      <c r="J15" s="99">
        <v>42.32</v>
      </c>
      <c r="K15" s="380"/>
      <c r="M15" s="141"/>
    </row>
    <row r="16" spans="1:14" s="2" customFormat="1" ht="21.95" customHeight="1">
      <c r="A16" s="375">
        <v>3</v>
      </c>
      <c r="B16" s="115" t="s">
        <v>23</v>
      </c>
      <c r="C16" s="116" t="s">
        <v>81</v>
      </c>
      <c r="D16" s="116">
        <v>41.62</v>
      </c>
      <c r="E16" s="378">
        <f>AVERAGE(D16:D18)</f>
        <v>41.743333333333332</v>
      </c>
      <c r="F16" s="386"/>
      <c r="G16" s="376">
        <v>12</v>
      </c>
      <c r="H16" s="144" t="s">
        <v>19</v>
      </c>
      <c r="I16" s="145" t="s">
        <v>152</v>
      </c>
      <c r="J16" s="145">
        <v>41.89</v>
      </c>
      <c r="K16" s="379">
        <f>AVERAGE(J16:J18)</f>
        <v>42.13666666666667</v>
      </c>
      <c r="M16" s="141" t="s">
        <v>159</v>
      </c>
      <c r="N16"/>
    </row>
    <row r="17" spans="1:14" s="2" customFormat="1" ht="21.95" customHeight="1">
      <c r="A17" s="376"/>
      <c r="B17" s="87" t="s">
        <v>25</v>
      </c>
      <c r="C17" s="88" t="s">
        <v>88</v>
      </c>
      <c r="D17" s="88">
        <v>41.75</v>
      </c>
      <c r="E17" s="379"/>
      <c r="F17" s="386"/>
      <c r="G17" s="376"/>
      <c r="H17" s="87" t="s">
        <v>24</v>
      </c>
      <c r="I17" s="88" t="s">
        <v>81</v>
      </c>
      <c r="J17" s="88">
        <v>42.07</v>
      </c>
      <c r="K17" s="379"/>
      <c r="M17" s="141" t="s">
        <v>160</v>
      </c>
    </row>
    <row r="18" spans="1:14" s="2" customFormat="1" ht="21.95" customHeight="1" thickBot="1">
      <c r="A18" s="377"/>
      <c r="B18" s="98" t="s">
        <v>66</v>
      </c>
      <c r="C18" s="99" t="s">
        <v>18</v>
      </c>
      <c r="D18" s="99">
        <v>41.86</v>
      </c>
      <c r="E18" s="380"/>
      <c r="F18" s="386"/>
      <c r="G18" s="376"/>
      <c r="H18" s="132" t="s">
        <v>107</v>
      </c>
      <c r="I18" s="133" t="s">
        <v>153</v>
      </c>
      <c r="J18" s="133">
        <v>42.45</v>
      </c>
      <c r="K18" s="379"/>
      <c r="M18" s="141" t="s">
        <v>189</v>
      </c>
    </row>
    <row r="19" spans="1:14" s="2" customFormat="1" ht="21.95" customHeight="1">
      <c r="A19" s="375">
        <v>7</v>
      </c>
      <c r="B19" s="115" t="s">
        <v>23</v>
      </c>
      <c r="C19" s="116" t="s">
        <v>81</v>
      </c>
      <c r="D19" s="116">
        <v>41.72</v>
      </c>
      <c r="E19" s="378">
        <f>AVERAGE(D19:D21)</f>
        <v>41.766666666666666</v>
      </c>
      <c r="F19" s="386"/>
      <c r="G19" s="375">
        <v>11</v>
      </c>
      <c r="H19" s="115" t="s">
        <v>108</v>
      </c>
      <c r="I19" s="116" t="s">
        <v>153</v>
      </c>
      <c r="J19" s="129">
        <v>42.01</v>
      </c>
      <c r="K19" s="378">
        <f>AVERAGE(J19:J21)</f>
        <v>42.163333333333334</v>
      </c>
      <c r="M19" s="141"/>
    </row>
    <row r="20" spans="1:14" s="2" customFormat="1" ht="21.95" customHeight="1">
      <c r="A20" s="376"/>
      <c r="B20" s="144" t="s">
        <v>107</v>
      </c>
      <c r="C20" s="145" t="s">
        <v>153</v>
      </c>
      <c r="D20" s="145">
        <v>41.75</v>
      </c>
      <c r="E20" s="379"/>
      <c r="F20" s="386"/>
      <c r="G20" s="376"/>
      <c r="H20" s="87" t="s">
        <v>108</v>
      </c>
      <c r="I20" s="88" t="s">
        <v>153</v>
      </c>
      <c r="J20" s="89">
        <v>42.2</v>
      </c>
      <c r="K20" s="379"/>
      <c r="M20" s="141" t="s">
        <v>161</v>
      </c>
      <c r="N20"/>
    </row>
    <row r="21" spans="1:14" s="2" customFormat="1" ht="21.95" customHeight="1" thickBot="1">
      <c r="A21" s="377"/>
      <c r="B21" s="98" t="s">
        <v>107</v>
      </c>
      <c r="C21" s="99" t="s">
        <v>153</v>
      </c>
      <c r="D21" s="99">
        <v>41.83</v>
      </c>
      <c r="E21" s="380"/>
      <c r="F21" s="386"/>
      <c r="G21" s="377"/>
      <c r="H21" s="142" t="s">
        <v>66</v>
      </c>
      <c r="I21" s="99" t="s">
        <v>18</v>
      </c>
      <c r="J21" s="89">
        <v>42.28</v>
      </c>
      <c r="K21" s="380"/>
      <c r="M21" s="143" t="s">
        <v>162</v>
      </c>
      <c r="N21"/>
    </row>
    <row r="22" spans="1:14" s="2" customFormat="1" ht="21.95" customHeight="1">
      <c r="A22" s="375">
        <v>21</v>
      </c>
      <c r="B22" s="87" t="s">
        <v>19</v>
      </c>
      <c r="C22" s="88" t="s">
        <v>152</v>
      </c>
      <c r="D22" s="88">
        <v>41.74</v>
      </c>
      <c r="E22" s="378">
        <f>AVERAGE(D22:D24)</f>
        <v>41.806666666666665</v>
      </c>
      <c r="F22" s="387"/>
      <c r="G22" s="375">
        <v>15</v>
      </c>
      <c r="H22" s="115" t="s">
        <v>20</v>
      </c>
      <c r="I22" s="116" t="s">
        <v>72</v>
      </c>
      <c r="J22" s="116">
        <v>42.2</v>
      </c>
      <c r="K22" s="378">
        <f>AVERAGE(J22:J24)</f>
        <v>42.236666666666665</v>
      </c>
      <c r="M22" s="143" t="s">
        <v>163</v>
      </c>
      <c r="N22"/>
    </row>
    <row r="23" spans="1:14" s="2" customFormat="1" ht="21.95" customHeight="1">
      <c r="A23" s="376"/>
      <c r="B23" s="87" t="s">
        <v>24</v>
      </c>
      <c r="C23" s="88" t="s">
        <v>81</v>
      </c>
      <c r="D23" s="88">
        <v>41.77</v>
      </c>
      <c r="E23" s="379"/>
      <c r="F23" s="387"/>
      <c r="G23" s="376"/>
      <c r="H23" s="87" t="s">
        <v>22</v>
      </c>
      <c r="I23" s="88" t="s">
        <v>17</v>
      </c>
      <c r="J23" s="88">
        <v>42.21</v>
      </c>
      <c r="K23" s="379"/>
      <c r="M23" s="143"/>
      <c r="N23"/>
    </row>
    <row r="24" spans="1:14" s="2" customFormat="1" ht="21.95" customHeight="1" thickBot="1">
      <c r="A24" s="377"/>
      <c r="B24" s="147" t="s">
        <v>26</v>
      </c>
      <c r="C24" s="148" t="s">
        <v>88</v>
      </c>
      <c r="D24" s="148">
        <v>41.91</v>
      </c>
      <c r="E24" s="380"/>
      <c r="F24" s="387"/>
      <c r="G24" s="377"/>
      <c r="H24" s="98" t="s">
        <v>25</v>
      </c>
      <c r="I24" s="99" t="s">
        <v>88</v>
      </c>
      <c r="J24" s="99">
        <v>42.3</v>
      </c>
      <c r="K24" s="380"/>
      <c r="M24" s="143"/>
      <c r="N24"/>
    </row>
    <row r="27" spans="1:14" ht="10.5" customHeight="1">
      <c r="I27"/>
      <c r="J27"/>
      <c r="K27"/>
    </row>
    <row r="28" spans="1:14" ht="16.5" customHeight="1">
      <c r="I28"/>
      <c r="J28"/>
      <c r="K28"/>
    </row>
  </sheetData>
  <mergeCells count="37">
    <mergeCell ref="J5:J6"/>
    <mergeCell ref="K5:K6"/>
    <mergeCell ref="A7:A9"/>
    <mergeCell ref="E7:E9"/>
    <mergeCell ref="A22:A24"/>
    <mergeCell ref="E22:E24"/>
    <mergeCell ref="G10:G12"/>
    <mergeCell ref="G16:G18"/>
    <mergeCell ref="G22:G24"/>
    <mergeCell ref="A13:A15"/>
    <mergeCell ref="K19:K21"/>
    <mergeCell ref="A10:A12"/>
    <mergeCell ref="E10:E12"/>
    <mergeCell ref="K16:K18"/>
    <mergeCell ref="E13:E15"/>
    <mergeCell ref="G19:G21"/>
    <mergeCell ref="A1:K1"/>
    <mergeCell ref="A3:K3"/>
    <mergeCell ref="A5:A6"/>
    <mergeCell ref="B5:B6"/>
    <mergeCell ref="C5:C6"/>
    <mergeCell ref="D5:D6"/>
    <mergeCell ref="E5:E6"/>
    <mergeCell ref="F5:F24"/>
    <mergeCell ref="G5:G6"/>
    <mergeCell ref="H5:H6"/>
    <mergeCell ref="K10:K12"/>
    <mergeCell ref="A19:A21"/>
    <mergeCell ref="E19:E21"/>
    <mergeCell ref="G7:G9"/>
    <mergeCell ref="K7:K9"/>
    <mergeCell ref="I5:I6"/>
    <mergeCell ref="A16:A18"/>
    <mergeCell ref="E16:E18"/>
    <mergeCell ref="K22:K24"/>
    <mergeCell ref="G13:G15"/>
    <mergeCell ref="K13:K15"/>
  </mergeCells>
  <pageMargins left="0.70866141732283472" right="0.51181102362204722" top="0.35433070866141736" bottom="0.35433070866141736" header="0.31496062992125984" footer="0.31496062992125984"/>
  <pageSetup paperSize="9" orientation="landscape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00B0F0"/>
  </sheetPr>
  <dimension ref="A1:W62"/>
  <sheetViews>
    <sheetView topLeftCell="A16" zoomScale="85" zoomScaleNormal="85" workbookViewId="0">
      <selection activeCell="A40" sqref="A40"/>
    </sheetView>
  </sheetViews>
  <sheetFormatPr defaultRowHeight="15.75"/>
  <cols>
    <col min="1" max="2" width="9.140625" style="149"/>
    <col min="3" max="3" width="4.42578125" customWidth="1"/>
    <col min="5" max="5" width="9" customWidth="1"/>
    <col min="6" max="6" width="9" style="41" customWidth="1"/>
    <col min="8" max="8" width="9.140625" customWidth="1"/>
    <col min="11" max="11" width="9.5703125" customWidth="1"/>
    <col min="14" max="14" width="7.85546875" customWidth="1"/>
    <col min="15" max="15" width="19.140625" customWidth="1"/>
    <col min="17" max="17" width="9.140625" customWidth="1"/>
    <col min="19" max="19" width="3.85546875" customWidth="1"/>
    <col min="20" max="20" width="6" customWidth="1"/>
    <col min="21" max="21" width="15.7109375" customWidth="1"/>
    <col min="22" max="22" width="10.7109375" style="41" customWidth="1"/>
    <col min="23" max="23" width="9.85546875" style="41" customWidth="1"/>
  </cols>
  <sheetData>
    <row r="1" spans="1:18" ht="18" customHeight="1">
      <c r="A1" s="355" t="s">
        <v>113</v>
      </c>
      <c r="B1" s="355"/>
      <c r="C1" s="355"/>
      <c r="D1" s="355"/>
      <c r="E1" s="355"/>
      <c r="F1" s="355"/>
      <c r="G1" s="355"/>
      <c r="H1" s="355"/>
      <c r="I1" s="355"/>
      <c r="J1" s="355"/>
      <c r="K1" s="355"/>
      <c r="L1" s="355"/>
      <c r="M1" s="355"/>
      <c r="N1" s="355"/>
      <c r="O1" s="355"/>
      <c r="P1" s="355"/>
      <c r="Q1" s="355"/>
      <c r="R1" s="355"/>
    </row>
    <row r="2" spans="1:18" ht="3.75" customHeight="1" thickBot="1"/>
    <row r="3" spans="1:18" ht="15.75" customHeight="1" thickBot="1">
      <c r="A3" s="388" t="s">
        <v>99</v>
      </c>
      <c r="B3" s="389"/>
      <c r="D3" s="388" t="s">
        <v>81</v>
      </c>
      <c r="E3" s="390"/>
      <c r="F3" s="389"/>
      <c r="G3" s="388" t="s">
        <v>15</v>
      </c>
      <c r="H3" s="390"/>
      <c r="I3" s="389"/>
      <c r="J3" s="391" t="s">
        <v>164</v>
      </c>
      <c r="K3" s="392"/>
      <c r="L3" s="393"/>
      <c r="N3" s="394" t="s">
        <v>100</v>
      </c>
      <c r="O3" s="394"/>
      <c r="P3" s="394"/>
      <c r="Q3" s="394"/>
    </row>
    <row r="4" spans="1:18" s="2" customFormat="1" ht="18" customHeight="1" thickBot="1">
      <c r="A4" s="150" t="s">
        <v>86</v>
      </c>
      <c r="B4" s="151" t="s">
        <v>46</v>
      </c>
      <c r="D4" s="273" t="s">
        <v>101</v>
      </c>
      <c r="E4" s="153" t="s">
        <v>102</v>
      </c>
      <c r="F4" s="154" t="s">
        <v>103</v>
      </c>
      <c r="G4" s="152" t="s">
        <v>101</v>
      </c>
      <c r="H4" s="153" t="s">
        <v>102</v>
      </c>
      <c r="I4" s="154" t="s">
        <v>103</v>
      </c>
      <c r="J4" s="155" t="s">
        <v>101</v>
      </c>
      <c r="K4" s="153" t="s">
        <v>102</v>
      </c>
      <c r="L4" s="154" t="s">
        <v>103</v>
      </c>
      <c r="N4" s="395" t="s">
        <v>41</v>
      </c>
      <c r="O4" s="398" t="s">
        <v>3</v>
      </c>
      <c r="P4" s="401" t="s">
        <v>104</v>
      </c>
      <c r="Q4" s="402"/>
    </row>
    <row r="5" spans="1:18" ht="15" customHeight="1">
      <c r="A5" s="156">
        <v>1</v>
      </c>
      <c r="B5" s="157">
        <v>41.58</v>
      </c>
      <c r="D5" s="158">
        <v>3</v>
      </c>
      <c r="E5" s="46">
        <v>28</v>
      </c>
      <c r="F5" s="312">
        <f t="shared" ref="F5:F12" si="0">(VLOOKUP(D5,$A$5:$B$16,2)-$B$5)*E5</f>
        <v>6.4400000000001114</v>
      </c>
      <c r="G5" s="9">
        <v>12</v>
      </c>
      <c r="H5" s="160">
        <v>22</v>
      </c>
      <c r="I5" s="159">
        <f t="shared" ref="I5:I12" si="1">(VLOOKUP(G5,$A$5:$B$16,2)-$B$5)*H5</f>
        <v>12.32000000000005</v>
      </c>
      <c r="J5" s="47">
        <v>11</v>
      </c>
      <c r="K5" s="46">
        <v>21</v>
      </c>
      <c r="L5" s="159">
        <f t="shared" ref="L5:L12" si="2">(VLOOKUP(J5,$A$5:$B$16,2)-$B$5)*K5</f>
        <v>13.020000000000095</v>
      </c>
      <c r="N5" s="396"/>
      <c r="O5" s="399"/>
      <c r="P5" s="403"/>
      <c r="Q5" s="404"/>
    </row>
    <row r="6" spans="1:18" ht="15" customHeight="1" thickBot="1">
      <c r="A6" s="161">
        <v>2</v>
      </c>
      <c r="B6" s="162">
        <v>41.63</v>
      </c>
      <c r="D6" s="168">
        <v>12</v>
      </c>
      <c r="E6" s="3">
        <v>47</v>
      </c>
      <c r="F6" s="164">
        <f t="shared" si="0"/>
        <v>26.320000000000107</v>
      </c>
      <c r="G6" s="3">
        <v>21</v>
      </c>
      <c r="H6" s="3">
        <v>54</v>
      </c>
      <c r="I6" s="165">
        <f t="shared" si="1"/>
        <v>12.420000000000215</v>
      </c>
      <c r="J6" s="26">
        <v>7</v>
      </c>
      <c r="K6" s="3">
        <v>30</v>
      </c>
      <c r="L6" s="165">
        <f t="shared" si="2"/>
        <v>5.700000000000145</v>
      </c>
      <c r="N6" s="397"/>
      <c r="O6" s="400"/>
      <c r="P6" s="166" t="s">
        <v>46</v>
      </c>
      <c r="Q6" s="167" t="s">
        <v>47</v>
      </c>
    </row>
    <row r="7" spans="1:18" ht="15" customHeight="1">
      <c r="A7" s="161">
        <v>3</v>
      </c>
      <c r="B7" s="162">
        <v>41.81</v>
      </c>
      <c r="D7" s="168">
        <v>1</v>
      </c>
      <c r="E7" s="3">
        <v>69</v>
      </c>
      <c r="F7" s="165">
        <f t="shared" si="0"/>
        <v>0</v>
      </c>
      <c r="G7" s="3">
        <v>9</v>
      </c>
      <c r="H7" s="3">
        <v>68</v>
      </c>
      <c r="I7" s="165">
        <f t="shared" si="1"/>
        <v>10.880000000000251</v>
      </c>
      <c r="J7" s="26">
        <v>9</v>
      </c>
      <c r="K7" s="169">
        <v>21</v>
      </c>
      <c r="L7" s="165">
        <f t="shared" si="2"/>
        <v>3.3600000000000776</v>
      </c>
      <c r="N7" s="405">
        <v>1</v>
      </c>
      <c r="O7" s="407" t="s">
        <v>81</v>
      </c>
      <c r="P7" s="409">
        <f>F13-F13</f>
        <v>0</v>
      </c>
      <c r="Q7" s="411">
        <v>0</v>
      </c>
    </row>
    <row r="8" spans="1:18" ht="15" customHeight="1">
      <c r="A8" s="161">
        <v>5</v>
      </c>
      <c r="B8" s="162">
        <v>42.1</v>
      </c>
      <c r="D8" s="170">
        <v>13</v>
      </c>
      <c r="E8" s="3">
        <v>27</v>
      </c>
      <c r="F8" s="163">
        <f t="shared" si="0"/>
        <v>10.260000000000069</v>
      </c>
      <c r="G8" s="26">
        <v>3</v>
      </c>
      <c r="H8" s="3">
        <v>42</v>
      </c>
      <c r="I8" s="163">
        <f t="shared" si="1"/>
        <v>9.6600000000001671</v>
      </c>
      <c r="J8" s="26">
        <v>7</v>
      </c>
      <c r="K8" s="169">
        <v>70</v>
      </c>
      <c r="L8" s="163">
        <f t="shared" si="2"/>
        <v>13.300000000000338</v>
      </c>
      <c r="N8" s="406"/>
      <c r="O8" s="408"/>
      <c r="P8" s="410"/>
      <c r="Q8" s="412"/>
    </row>
    <row r="9" spans="1:18" ht="15" customHeight="1">
      <c r="A9" s="161">
        <v>7</v>
      </c>
      <c r="B9" s="162">
        <v>41.77</v>
      </c>
      <c r="D9" s="168">
        <v>5</v>
      </c>
      <c r="E9" s="3">
        <v>45</v>
      </c>
      <c r="F9" s="165">
        <f t="shared" si="0"/>
        <v>23.400000000000141</v>
      </c>
      <c r="G9" s="3">
        <v>21</v>
      </c>
      <c r="H9" s="3">
        <v>66</v>
      </c>
      <c r="I9" s="164">
        <f t="shared" si="1"/>
        <v>15.180000000000263</v>
      </c>
      <c r="J9" s="26">
        <v>2</v>
      </c>
      <c r="K9" s="169">
        <v>69</v>
      </c>
      <c r="L9" s="165">
        <f t="shared" si="2"/>
        <v>3.4500000000002942</v>
      </c>
      <c r="N9" s="406">
        <v>3</v>
      </c>
      <c r="O9" s="408" t="s">
        <v>15</v>
      </c>
      <c r="P9" s="413">
        <f>I13-F13</f>
        <v>7.1100000000003405</v>
      </c>
      <c r="Q9" s="414">
        <f t="shared" ref="Q9" si="3">P9/$B$17</f>
        <v>0.16964587517150315</v>
      </c>
    </row>
    <row r="10" spans="1:18" ht="15" customHeight="1">
      <c r="A10" s="161">
        <v>9</v>
      </c>
      <c r="B10" s="162">
        <v>41.74</v>
      </c>
      <c r="D10" s="170">
        <v>2</v>
      </c>
      <c r="E10" s="3">
        <v>47</v>
      </c>
      <c r="F10" s="163">
        <f t="shared" si="0"/>
        <v>2.3500000000002004</v>
      </c>
      <c r="G10" s="26">
        <v>15</v>
      </c>
      <c r="H10" s="3">
        <v>19</v>
      </c>
      <c r="I10" s="163">
        <f t="shared" si="1"/>
        <v>12.54000000000007</v>
      </c>
      <c r="J10" s="26">
        <v>12</v>
      </c>
      <c r="K10" s="169">
        <v>20</v>
      </c>
      <c r="L10" s="165">
        <f t="shared" si="2"/>
        <v>11.200000000000045</v>
      </c>
      <c r="N10" s="406"/>
      <c r="O10" s="408"/>
      <c r="P10" s="410"/>
      <c r="Q10" s="412"/>
    </row>
    <row r="11" spans="1:18" ht="15" customHeight="1">
      <c r="A11" s="161">
        <v>11</v>
      </c>
      <c r="B11" s="162">
        <v>42.2</v>
      </c>
      <c r="D11" s="170">
        <v>21</v>
      </c>
      <c r="E11" s="3">
        <v>31</v>
      </c>
      <c r="F11" s="163">
        <f t="shared" si="0"/>
        <v>7.1300000000001234</v>
      </c>
      <c r="G11" s="26">
        <v>9</v>
      </c>
      <c r="H11" s="3">
        <v>22</v>
      </c>
      <c r="I11" s="163">
        <f t="shared" si="1"/>
        <v>3.5200000000000813</v>
      </c>
      <c r="J11" s="26">
        <v>7</v>
      </c>
      <c r="K11" s="169">
        <v>48</v>
      </c>
      <c r="L11" s="163">
        <f t="shared" si="2"/>
        <v>9.1200000000002319</v>
      </c>
      <c r="N11" s="406">
        <v>2</v>
      </c>
      <c r="O11" s="415" t="s">
        <v>153</v>
      </c>
      <c r="P11" s="413">
        <f>L13-F13</f>
        <v>7.1700000000005275</v>
      </c>
      <c r="Q11" s="414">
        <f>P11/$B$17</f>
        <v>0.17107748593244851</v>
      </c>
    </row>
    <row r="12" spans="1:18" ht="16.5" thickBot="1">
      <c r="A12" s="161">
        <v>12</v>
      </c>
      <c r="B12" s="162">
        <v>42.14</v>
      </c>
      <c r="D12" s="172">
        <v>7</v>
      </c>
      <c r="E12" s="32">
        <v>34</v>
      </c>
      <c r="F12" s="313">
        <f t="shared" si="0"/>
        <v>6.4600000000001643</v>
      </c>
      <c r="G12" s="168">
        <v>14</v>
      </c>
      <c r="H12" s="3">
        <v>35</v>
      </c>
      <c r="I12" s="163">
        <f t="shared" si="1"/>
        <v>12.950000000000159</v>
      </c>
      <c r="J12" s="168">
        <v>11</v>
      </c>
      <c r="K12" s="3">
        <v>49</v>
      </c>
      <c r="L12" s="164">
        <f t="shared" si="2"/>
        <v>30.380000000000223</v>
      </c>
      <c r="N12" s="406"/>
      <c r="O12" s="408"/>
      <c r="P12" s="410"/>
      <c r="Q12" s="412"/>
    </row>
    <row r="13" spans="1:18" ht="16.5" thickBot="1">
      <c r="A13" s="161">
        <v>13</v>
      </c>
      <c r="B13" s="162">
        <v>41.96</v>
      </c>
      <c r="D13" s="416" t="s">
        <v>105</v>
      </c>
      <c r="E13" s="417"/>
      <c r="F13" s="173">
        <f>SUM(F5:F12)</f>
        <v>82.360000000000923</v>
      </c>
      <c r="G13" s="416" t="s">
        <v>105</v>
      </c>
      <c r="H13" s="417"/>
      <c r="I13" s="320">
        <f>SUM(I5:I12)</f>
        <v>89.470000000001264</v>
      </c>
      <c r="J13" s="416" t="s">
        <v>105</v>
      </c>
      <c r="K13" s="417"/>
      <c r="L13" s="174">
        <f>SUM(L5:L12)</f>
        <v>89.530000000001451</v>
      </c>
      <c r="N13" s="406">
        <v>4</v>
      </c>
      <c r="O13" s="408" t="s">
        <v>88</v>
      </c>
      <c r="P13" s="413">
        <f>I25-F13</f>
        <v>10.490000000000123</v>
      </c>
      <c r="Q13" s="414">
        <f t="shared" ref="Q13" si="4">P13/$B$17</f>
        <v>0.25029328137116791</v>
      </c>
    </row>
    <row r="14" spans="1:18" ht="16.5" thickBot="1">
      <c r="A14" s="161">
        <v>14</v>
      </c>
      <c r="B14" s="162">
        <v>41.95</v>
      </c>
      <c r="D14" s="175"/>
      <c r="E14" s="175"/>
      <c r="F14" s="175"/>
      <c r="G14" s="175"/>
      <c r="H14" s="175"/>
      <c r="I14" s="175"/>
      <c r="J14" s="175"/>
      <c r="K14" s="175"/>
      <c r="L14" s="176"/>
      <c r="M14" s="176"/>
      <c r="N14" s="406"/>
      <c r="O14" s="408"/>
      <c r="P14" s="410"/>
      <c r="Q14" s="412"/>
    </row>
    <row r="15" spans="1:18">
      <c r="A15" s="161">
        <v>15</v>
      </c>
      <c r="B15" s="162">
        <v>42.24</v>
      </c>
      <c r="D15" s="388" t="s">
        <v>17</v>
      </c>
      <c r="E15" s="390"/>
      <c r="F15" s="389"/>
      <c r="G15" s="391" t="s">
        <v>88</v>
      </c>
      <c r="H15" s="392"/>
      <c r="I15" s="393"/>
      <c r="J15" s="391" t="s">
        <v>89</v>
      </c>
      <c r="K15" s="392"/>
      <c r="L15" s="393"/>
      <c r="N15" s="406">
        <v>5</v>
      </c>
      <c r="O15" s="415" t="s">
        <v>17</v>
      </c>
      <c r="P15" s="413">
        <f>F25-F13</f>
        <v>17.480000000000103</v>
      </c>
      <c r="Q15" s="414">
        <f t="shared" ref="Q15" si="5">P15/$B$17</f>
        <v>0.41707593502078066</v>
      </c>
    </row>
    <row r="16" spans="1:18" ht="16.5" thickBot="1">
      <c r="A16" s="161">
        <v>21</v>
      </c>
      <c r="B16" s="171">
        <v>41.81</v>
      </c>
      <c r="D16" s="152" t="s">
        <v>101</v>
      </c>
      <c r="E16" s="153" t="s">
        <v>102</v>
      </c>
      <c r="F16" s="154" t="s">
        <v>103</v>
      </c>
      <c r="G16" s="152" t="s">
        <v>101</v>
      </c>
      <c r="H16" s="153" t="s">
        <v>102</v>
      </c>
      <c r="I16" s="154" t="s">
        <v>103</v>
      </c>
      <c r="J16" s="177" t="s">
        <v>101</v>
      </c>
      <c r="K16" s="178" t="s">
        <v>102</v>
      </c>
      <c r="L16" s="179" t="s">
        <v>103</v>
      </c>
      <c r="N16" s="406"/>
      <c r="O16" s="408"/>
      <c r="P16" s="410"/>
      <c r="Q16" s="412"/>
    </row>
    <row r="17" spans="1:23" ht="16.5" thickBot="1">
      <c r="A17" s="180" t="s">
        <v>106</v>
      </c>
      <c r="B17" s="181">
        <f>AVERAGE(B5:B16)</f>
        <v>41.910833333333336</v>
      </c>
      <c r="D17" s="158">
        <v>14</v>
      </c>
      <c r="E17" s="160">
        <v>21</v>
      </c>
      <c r="F17" s="159">
        <f t="shared" ref="F17:F24" si="6">(VLOOKUP(D17,$A$5:$B$16,2)-$B$5)*E17</f>
        <v>7.7700000000000955</v>
      </c>
      <c r="G17" s="47">
        <v>15</v>
      </c>
      <c r="H17" s="160">
        <v>21</v>
      </c>
      <c r="I17" s="159">
        <f t="shared" ref="I17:I24" si="7">(VLOOKUP(G17,$A$5:$B$16,2)-$B$5)*H17</f>
        <v>13.860000000000078</v>
      </c>
      <c r="J17" s="199">
        <v>13</v>
      </c>
      <c r="K17" s="160">
        <v>27</v>
      </c>
      <c r="L17" s="159">
        <f t="shared" ref="L17:L24" si="8">(VLOOKUP(J17,$A$5:$B$16,2)-$B$5)*K17</f>
        <v>10.260000000000069</v>
      </c>
      <c r="N17" s="406">
        <v>6</v>
      </c>
      <c r="O17" s="408" t="s">
        <v>89</v>
      </c>
      <c r="P17" s="413">
        <f>L25-F13</f>
        <v>29.860000000000156</v>
      </c>
      <c r="Q17" s="414">
        <f t="shared" ref="Q17" si="9">P17/$B$17</f>
        <v>0.71246495536158483</v>
      </c>
    </row>
    <row r="18" spans="1:23">
      <c r="D18" s="170">
        <v>2</v>
      </c>
      <c r="E18" s="3">
        <v>50</v>
      </c>
      <c r="F18" s="163">
        <f t="shared" si="6"/>
        <v>2.5000000000002132</v>
      </c>
      <c r="G18" s="3">
        <v>1</v>
      </c>
      <c r="H18" s="3">
        <v>52</v>
      </c>
      <c r="I18" s="165">
        <f t="shared" si="7"/>
        <v>0</v>
      </c>
      <c r="J18" s="200">
        <v>15</v>
      </c>
      <c r="K18" s="3">
        <v>54</v>
      </c>
      <c r="L18" s="164">
        <f t="shared" si="8"/>
        <v>35.6400000000002</v>
      </c>
      <c r="N18" s="406"/>
      <c r="O18" s="408"/>
      <c r="P18" s="410"/>
      <c r="Q18" s="412"/>
    </row>
    <row r="19" spans="1:23" ht="15.75" customHeight="1">
      <c r="D19" s="170">
        <v>5</v>
      </c>
      <c r="E19" s="169">
        <v>68</v>
      </c>
      <c r="F19" s="164">
        <f t="shared" si="6"/>
        <v>35.360000000000213</v>
      </c>
      <c r="G19" s="3">
        <v>3</v>
      </c>
      <c r="H19" s="169">
        <v>40</v>
      </c>
      <c r="I19" s="165">
        <f t="shared" si="7"/>
        <v>9.2000000000001592</v>
      </c>
      <c r="J19" s="200">
        <v>14</v>
      </c>
      <c r="K19" s="3">
        <v>66</v>
      </c>
      <c r="L19" s="165">
        <f t="shared" si="8"/>
        <v>24.4200000000003</v>
      </c>
      <c r="N19" s="418">
        <v>7</v>
      </c>
      <c r="O19" s="419" t="s">
        <v>18</v>
      </c>
      <c r="P19" s="413">
        <f>F37-F13</f>
        <v>37.270000000000152</v>
      </c>
      <c r="Q19" s="420">
        <f t="shared" ref="Q19" si="10">P19/$B$17</f>
        <v>0.88926888433778417</v>
      </c>
    </row>
    <row r="20" spans="1:23">
      <c r="D20" s="170">
        <v>15</v>
      </c>
      <c r="E20" s="169">
        <v>20</v>
      </c>
      <c r="F20" s="163">
        <f t="shared" si="6"/>
        <v>13.200000000000074</v>
      </c>
      <c r="G20" s="26">
        <v>21</v>
      </c>
      <c r="H20" s="169">
        <v>33</v>
      </c>
      <c r="I20" s="163">
        <f t="shared" si="7"/>
        <v>7.5900000000001313</v>
      </c>
      <c r="J20" s="200">
        <v>7</v>
      </c>
      <c r="K20" s="3">
        <v>68</v>
      </c>
      <c r="L20" s="165">
        <f t="shared" si="8"/>
        <v>12.920000000000329</v>
      </c>
      <c r="N20" s="406"/>
      <c r="O20" s="415"/>
      <c r="P20" s="410"/>
      <c r="Q20" s="412"/>
    </row>
    <row r="21" spans="1:23">
      <c r="D21" s="182">
        <v>14</v>
      </c>
      <c r="E21" s="169">
        <v>59</v>
      </c>
      <c r="F21" s="165">
        <f t="shared" si="6"/>
        <v>21.830000000000268</v>
      </c>
      <c r="G21" s="26">
        <v>9</v>
      </c>
      <c r="H21" s="169">
        <v>69</v>
      </c>
      <c r="I21" s="165">
        <f t="shared" si="7"/>
        <v>11.040000000000255</v>
      </c>
      <c r="J21" s="200">
        <v>1</v>
      </c>
      <c r="K21" s="3">
        <v>47</v>
      </c>
      <c r="L21" s="165">
        <f t="shared" si="8"/>
        <v>0</v>
      </c>
      <c r="N21" s="406">
        <v>8</v>
      </c>
      <c r="O21" s="408" t="s">
        <v>69</v>
      </c>
      <c r="P21" s="423">
        <f>I37-F13</f>
        <v>58.55000000000021</v>
      </c>
      <c r="Q21" s="425">
        <f t="shared" ref="Q21" si="11">P21/$B$17</f>
        <v>1.3970135008848199</v>
      </c>
      <c r="S21" s="41"/>
    </row>
    <row r="22" spans="1:23" ht="16.5" thickBot="1">
      <c r="D22" s="170">
        <v>13</v>
      </c>
      <c r="E22" s="169">
        <v>31</v>
      </c>
      <c r="F22" s="165">
        <f t="shared" si="6"/>
        <v>11.780000000000079</v>
      </c>
      <c r="G22" s="26">
        <v>11</v>
      </c>
      <c r="H22" s="169">
        <v>33</v>
      </c>
      <c r="I22" s="163">
        <f t="shared" si="7"/>
        <v>20.46000000000015</v>
      </c>
      <c r="J22" s="200">
        <v>13</v>
      </c>
      <c r="K22" s="3">
        <v>20</v>
      </c>
      <c r="L22" s="163">
        <f t="shared" si="8"/>
        <v>7.6000000000000512</v>
      </c>
      <c r="N22" s="421"/>
      <c r="O22" s="422"/>
      <c r="P22" s="424"/>
      <c r="Q22" s="426"/>
      <c r="S22" s="41"/>
    </row>
    <row r="23" spans="1:23">
      <c r="D23" s="170">
        <v>14</v>
      </c>
      <c r="E23" s="169">
        <v>20</v>
      </c>
      <c r="F23" s="165">
        <f t="shared" si="6"/>
        <v>7.4000000000000909</v>
      </c>
      <c r="G23" s="26">
        <v>5</v>
      </c>
      <c r="H23" s="169">
        <v>44</v>
      </c>
      <c r="I23" s="164">
        <f t="shared" si="7"/>
        <v>22.880000000000138</v>
      </c>
      <c r="J23" s="200">
        <v>15</v>
      </c>
      <c r="K23" s="3">
        <v>18</v>
      </c>
      <c r="L23" s="163">
        <f t="shared" si="8"/>
        <v>11.880000000000067</v>
      </c>
      <c r="S23" s="41"/>
      <c r="T23" s="41"/>
      <c r="V23"/>
      <c r="W23"/>
    </row>
    <row r="24" spans="1:23" ht="16.5" thickBot="1">
      <c r="D24" s="168">
        <v>1</v>
      </c>
      <c r="E24" s="3">
        <v>59</v>
      </c>
      <c r="F24" s="163">
        <f t="shared" si="6"/>
        <v>0</v>
      </c>
      <c r="G24" s="168">
        <v>3</v>
      </c>
      <c r="H24" s="3">
        <v>34</v>
      </c>
      <c r="I24" s="163">
        <f t="shared" si="7"/>
        <v>7.8200000000001353</v>
      </c>
      <c r="J24" s="209">
        <v>13</v>
      </c>
      <c r="K24" s="3">
        <v>25</v>
      </c>
      <c r="L24" s="163">
        <f t="shared" si="8"/>
        <v>9.5000000000000639</v>
      </c>
      <c r="S24" s="41"/>
      <c r="T24" s="41"/>
      <c r="V24"/>
      <c r="W24"/>
    </row>
    <row r="25" spans="1:23" ht="16.5" thickBot="1">
      <c r="D25" s="416" t="s">
        <v>105</v>
      </c>
      <c r="E25" s="417"/>
      <c r="F25" s="183">
        <f>SUM(F17:F24)</f>
        <v>99.840000000001027</v>
      </c>
      <c r="G25" s="416" t="s">
        <v>105</v>
      </c>
      <c r="H25" s="417"/>
      <c r="I25" s="174">
        <f>SUM(I17:I24)</f>
        <v>92.850000000001046</v>
      </c>
      <c r="J25" s="416" t="s">
        <v>105</v>
      </c>
      <c r="K25" s="417"/>
      <c r="L25" s="174">
        <f>SUM(L17:L24)</f>
        <v>112.22000000000108</v>
      </c>
      <c r="S25" s="41"/>
      <c r="T25" s="41"/>
      <c r="V25"/>
      <c r="W25"/>
    </row>
    <row r="26" spans="1:23" ht="16.5" thickBot="1">
      <c r="S26" s="41"/>
      <c r="T26" s="41"/>
      <c r="V26"/>
      <c r="W26"/>
    </row>
    <row r="27" spans="1:23">
      <c r="D27" s="391" t="s">
        <v>18</v>
      </c>
      <c r="E27" s="392"/>
      <c r="F27" s="393"/>
      <c r="G27" s="391" t="s">
        <v>69</v>
      </c>
      <c r="H27" s="392"/>
      <c r="I27" s="393"/>
      <c r="J27" s="429"/>
      <c r="K27" s="430"/>
      <c r="L27" s="431"/>
      <c r="S27" s="41"/>
      <c r="T27" s="41"/>
      <c r="V27"/>
      <c r="W27"/>
    </row>
    <row r="28" spans="1:23" ht="16.5" thickBot="1">
      <c r="D28" s="177" t="s">
        <v>101</v>
      </c>
      <c r="E28" s="178" t="s">
        <v>102</v>
      </c>
      <c r="F28" s="179" t="s">
        <v>103</v>
      </c>
      <c r="G28" s="177" t="s">
        <v>101</v>
      </c>
      <c r="H28" s="178" t="s">
        <v>102</v>
      </c>
      <c r="I28" s="179" t="s">
        <v>103</v>
      </c>
      <c r="J28" s="314"/>
      <c r="K28" s="315"/>
      <c r="L28" s="316"/>
      <c r="S28" s="41"/>
      <c r="T28" s="41"/>
      <c r="V28"/>
      <c r="W28"/>
    </row>
    <row r="29" spans="1:23">
      <c r="D29" s="184">
        <v>5</v>
      </c>
      <c r="E29" s="160">
        <v>24</v>
      </c>
      <c r="F29" s="159">
        <f t="shared" ref="F29:F36" si="12">(VLOOKUP(D29,$A$5:$B$16,2)-$B$5)*E29</f>
        <v>12.480000000000075</v>
      </c>
      <c r="G29" s="9">
        <v>21</v>
      </c>
      <c r="H29" s="160">
        <v>21</v>
      </c>
      <c r="I29" s="159">
        <f t="shared" ref="I29:I36" si="13">(VLOOKUP(G29,$A$5:$B$16,2)-$B$5)*H29</f>
        <v>4.8300000000000836</v>
      </c>
      <c r="J29" s="317"/>
      <c r="K29" s="318"/>
      <c r="L29" s="319"/>
      <c r="S29" s="41"/>
      <c r="T29" s="41"/>
      <c r="V29"/>
      <c r="W29"/>
    </row>
    <row r="30" spans="1:23">
      <c r="D30" s="168">
        <v>11</v>
      </c>
      <c r="E30" s="3">
        <v>48</v>
      </c>
      <c r="F30" s="164">
        <f t="shared" si="12"/>
        <v>29.760000000000218</v>
      </c>
      <c r="G30" s="3">
        <v>14</v>
      </c>
      <c r="H30" s="3">
        <v>51</v>
      </c>
      <c r="I30" s="165">
        <f t="shared" si="13"/>
        <v>18.870000000000232</v>
      </c>
      <c r="J30" s="169"/>
      <c r="K30" s="169"/>
      <c r="L30" s="165"/>
      <c r="S30" s="41"/>
      <c r="T30" s="41"/>
      <c r="V30"/>
      <c r="W30"/>
    </row>
    <row r="31" spans="1:23">
      <c r="D31" s="168">
        <v>13</v>
      </c>
      <c r="E31" s="3">
        <v>69</v>
      </c>
      <c r="F31" s="165">
        <f t="shared" si="12"/>
        <v>26.220000000000176</v>
      </c>
      <c r="G31" s="3">
        <v>11</v>
      </c>
      <c r="H31" s="3">
        <v>37</v>
      </c>
      <c r="I31" s="165">
        <f t="shared" si="13"/>
        <v>22.940000000000168</v>
      </c>
      <c r="J31" s="169"/>
      <c r="K31" s="169"/>
      <c r="L31" s="165"/>
      <c r="S31" s="41"/>
      <c r="T31" s="41"/>
      <c r="V31"/>
      <c r="W31"/>
    </row>
    <row r="32" spans="1:23">
      <c r="D32" s="170">
        <v>12</v>
      </c>
      <c r="E32" s="169">
        <v>39</v>
      </c>
      <c r="F32" s="163">
        <f t="shared" si="12"/>
        <v>21.840000000000089</v>
      </c>
      <c r="G32" s="26">
        <v>12</v>
      </c>
      <c r="H32" s="169">
        <v>36</v>
      </c>
      <c r="I32" s="163">
        <f t="shared" si="13"/>
        <v>20.160000000000082</v>
      </c>
      <c r="J32" s="200"/>
      <c r="K32" s="169"/>
      <c r="L32" s="165"/>
      <c r="S32" s="41"/>
      <c r="T32" s="41"/>
      <c r="V32"/>
      <c r="W32"/>
    </row>
    <row r="33" spans="1:23">
      <c r="D33" s="168">
        <v>13</v>
      </c>
      <c r="E33" s="169">
        <v>26</v>
      </c>
      <c r="F33" s="165">
        <f t="shared" si="12"/>
        <v>9.8800000000000665</v>
      </c>
      <c r="G33" s="3">
        <v>21</v>
      </c>
      <c r="H33" s="169">
        <v>33</v>
      </c>
      <c r="I33" s="164">
        <f t="shared" si="13"/>
        <v>7.5900000000001313</v>
      </c>
      <c r="J33" s="200"/>
      <c r="K33" s="169"/>
      <c r="L33" s="165"/>
      <c r="S33" s="41"/>
      <c r="T33" s="41"/>
      <c r="V33"/>
      <c r="W33"/>
    </row>
    <row r="34" spans="1:23">
      <c r="D34" s="170">
        <v>3</v>
      </c>
      <c r="E34" s="169">
        <v>60</v>
      </c>
      <c r="F34" s="163">
        <f t="shared" si="12"/>
        <v>13.800000000000239</v>
      </c>
      <c r="G34" s="26">
        <v>15</v>
      </c>
      <c r="H34" s="169">
        <v>34</v>
      </c>
      <c r="I34" s="163">
        <f t="shared" si="13"/>
        <v>22.440000000000126</v>
      </c>
      <c r="J34" s="200"/>
      <c r="K34" s="169"/>
      <c r="L34" s="165"/>
      <c r="S34" s="41"/>
      <c r="T34" s="41"/>
      <c r="V34"/>
      <c r="W34"/>
    </row>
    <row r="35" spans="1:23">
      <c r="A35" s="185"/>
      <c r="B35" s="185"/>
      <c r="D35" s="170">
        <v>2</v>
      </c>
      <c r="E35" s="169">
        <v>33</v>
      </c>
      <c r="F35" s="165">
        <f t="shared" si="12"/>
        <v>1.6500000000001407</v>
      </c>
      <c r="G35" s="26">
        <v>9</v>
      </c>
      <c r="H35" s="169">
        <v>41</v>
      </c>
      <c r="I35" s="163">
        <f t="shared" si="13"/>
        <v>6.5600000000001515</v>
      </c>
      <c r="J35" s="200"/>
      <c r="K35" s="169"/>
      <c r="L35" s="165"/>
      <c r="S35" s="41"/>
      <c r="T35" s="41"/>
      <c r="V35"/>
      <c r="W35"/>
    </row>
    <row r="36" spans="1:23" ht="16.5" thickBot="1">
      <c r="D36" s="168">
        <v>9</v>
      </c>
      <c r="E36" s="3">
        <v>25</v>
      </c>
      <c r="F36" s="163">
        <f t="shared" si="12"/>
        <v>4.0000000000000924</v>
      </c>
      <c r="G36" s="32">
        <v>12</v>
      </c>
      <c r="H36" s="3">
        <v>67</v>
      </c>
      <c r="I36" s="163">
        <f t="shared" si="13"/>
        <v>37.520000000000152</v>
      </c>
      <c r="J36" s="200"/>
      <c r="K36" s="169"/>
      <c r="L36" s="165"/>
      <c r="S36" s="41"/>
      <c r="T36" s="41"/>
      <c r="V36"/>
      <c r="W36"/>
    </row>
    <row r="37" spans="1:23" s="71" customFormat="1" ht="16.5" thickBot="1">
      <c r="A37" s="188"/>
      <c r="B37" s="149"/>
      <c r="D37" s="416" t="s">
        <v>105</v>
      </c>
      <c r="E37" s="417"/>
      <c r="F37" s="174">
        <f>SUM(F29:F36)</f>
        <v>119.63000000000108</v>
      </c>
      <c r="G37" s="416" t="s">
        <v>105</v>
      </c>
      <c r="H37" s="417"/>
      <c r="I37" s="186">
        <f>SUM(I29:I36)</f>
        <v>140.91000000000113</v>
      </c>
      <c r="J37" s="427"/>
      <c r="K37" s="428"/>
      <c r="L37" s="320"/>
      <c r="M37"/>
      <c r="N37"/>
      <c r="O37"/>
      <c r="P37"/>
      <c r="Q37"/>
      <c r="R37"/>
      <c r="S37" s="187"/>
      <c r="T37" s="187"/>
    </row>
    <row r="38" spans="1:23">
      <c r="A38" s="188"/>
      <c r="S38" s="41"/>
      <c r="T38" s="41"/>
      <c r="V38"/>
      <c r="W38"/>
    </row>
    <row r="39" spans="1:23">
      <c r="A39" s="189" t="s">
        <v>182</v>
      </c>
    </row>
    <row r="40" spans="1:23">
      <c r="A40" s="189" t="s">
        <v>166</v>
      </c>
    </row>
    <row r="41" spans="1:23">
      <c r="A41" s="189" t="s">
        <v>167</v>
      </c>
    </row>
    <row r="42" spans="1:23">
      <c r="A42" s="189" t="s">
        <v>168</v>
      </c>
    </row>
    <row r="43" spans="1:23" ht="6.75" customHeight="1">
      <c r="A43" s="189"/>
    </row>
    <row r="44" spans="1:23">
      <c r="A44" s="189" t="s">
        <v>169</v>
      </c>
    </row>
    <row r="45" spans="1:23">
      <c r="A45" s="188" t="s">
        <v>170</v>
      </c>
    </row>
    <row r="46" spans="1:23">
      <c r="A46" s="189"/>
    </row>
    <row r="47" spans="1:23" ht="6.75" customHeight="1">
      <c r="A47" s="188"/>
    </row>
    <row r="48" spans="1:23">
      <c r="A48" s="188"/>
    </row>
    <row r="49" spans="1:23" s="149" customFormat="1">
      <c r="A49" s="188"/>
      <c r="C49"/>
      <c r="D49"/>
      <c r="E49"/>
      <c r="F49" s="41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 s="41"/>
      <c r="W49" s="41"/>
    </row>
    <row r="50" spans="1:23" s="149" customFormat="1">
      <c r="A50" s="189"/>
      <c r="C50"/>
      <c r="D50"/>
      <c r="E50"/>
      <c r="F50" s="41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 s="41"/>
      <c r="W50" s="41"/>
    </row>
    <row r="51" spans="1:23">
      <c r="A51" s="188"/>
    </row>
    <row r="52" spans="1:23" s="149" customFormat="1">
      <c r="A52" s="188"/>
      <c r="C52"/>
      <c r="D52"/>
      <c r="E52"/>
      <c r="F52" s="41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 s="41"/>
      <c r="W52" s="41"/>
    </row>
    <row r="53" spans="1:23" s="149" customFormat="1">
      <c r="A53" s="188"/>
      <c r="C53"/>
      <c r="D53"/>
      <c r="E53"/>
      <c r="F53" s="41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 s="41"/>
      <c r="W53" s="41"/>
    </row>
    <row r="54" spans="1:23" s="149" customFormat="1">
      <c r="A54" s="188"/>
      <c r="C54"/>
      <c r="D54"/>
      <c r="E54"/>
      <c r="F54" s="41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 s="41"/>
      <c r="W54" s="41"/>
    </row>
    <row r="55" spans="1:23" s="149" customFormat="1">
      <c r="C55"/>
      <c r="D55"/>
      <c r="E55"/>
      <c r="F55" s="41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 s="41"/>
      <c r="W55" s="41"/>
    </row>
    <row r="56" spans="1:23">
      <c r="A56" s="188"/>
    </row>
    <row r="57" spans="1:23" s="149" customFormat="1">
      <c r="A57" s="188"/>
      <c r="C57"/>
      <c r="D57"/>
      <c r="E57"/>
      <c r="F57" s="41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 s="41"/>
      <c r="W57" s="41"/>
    </row>
    <row r="58" spans="1:23" s="149" customFormat="1">
      <c r="A58" s="188"/>
      <c r="C58"/>
      <c r="D58"/>
      <c r="E58"/>
      <c r="F58" s="41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 s="41"/>
      <c r="W58" s="41"/>
    </row>
    <row r="59" spans="1:23" s="149" customFormat="1">
      <c r="C59"/>
      <c r="D59"/>
      <c r="E59"/>
      <c r="F59" s="41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 s="41"/>
      <c r="W59" s="41"/>
    </row>
    <row r="60" spans="1:23">
      <c r="A60" s="188"/>
    </row>
    <row r="61" spans="1:23" s="149" customFormat="1">
      <c r="A61" s="188"/>
      <c r="C61"/>
      <c r="D61"/>
      <c r="E61"/>
      <c r="F61" s="4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 s="41"/>
      <c r="W61" s="41"/>
    </row>
    <row r="62" spans="1:23" s="149" customFormat="1">
      <c r="C62"/>
      <c r="D62"/>
      <c r="E62"/>
      <c r="F62" s="41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 s="41"/>
      <c r="W62" s="41"/>
    </row>
  </sheetData>
  <mergeCells count="56">
    <mergeCell ref="N21:N22"/>
    <mergeCell ref="O21:O22"/>
    <mergeCell ref="P21:P22"/>
    <mergeCell ref="Q21:Q22"/>
    <mergeCell ref="D37:E37"/>
    <mergeCell ref="G37:H37"/>
    <mergeCell ref="J37:K37"/>
    <mergeCell ref="D25:E25"/>
    <mergeCell ref="G25:H25"/>
    <mergeCell ref="J25:K25"/>
    <mergeCell ref="D27:F27"/>
    <mergeCell ref="G27:I27"/>
    <mergeCell ref="J27:L27"/>
    <mergeCell ref="N17:N18"/>
    <mergeCell ref="O17:O18"/>
    <mergeCell ref="P17:P18"/>
    <mergeCell ref="Q17:Q18"/>
    <mergeCell ref="N19:N20"/>
    <mergeCell ref="O19:O20"/>
    <mergeCell ref="P19:P20"/>
    <mergeCell ref="Q19:Q20"/>
    <mergeCell ref="Q13:Q14"/>
    <mergeCell ref="D15:F15"/>
    <mergeCell ref="G15:I15"/>
    <mergeCell ref="J15:L15"/>
    <mergeCell ref="N15:N16"/>
    <mergeCell ref="O15:O16"/>
    <mergeCell ref="P15:P16"/>
    <mergeCell ref="Q15:Q16"/>
    <mergeCell ref="D13:E13"/>
    <mergeCell ref="G13:H13"/>
    <mergeCell ref="J13:K13"/>
    <mergeCell ref="N13:N14"/>
    <mergeCell ref="O13:O14"/>
    <mergeCell ref="P13:P14"/>
    <mergeCell ref="N9:N10"/>
    <mergeCell ref="O9:O10"/>
    <mergeCell ref="P9:P10"/>
    <mergeCell ref="Q9:Q10"/>
    <mergeCell ref="N11:N12"/>
    <mergeCell ref="O11:O12"/>
    <mergeCell ref="P11:P12"/>
    <mergeCell ref="Q11:Q12"/>
    <mergeCell ref="N4:N6"/>
    <mergeCell ref="O4:O6"/>
    <mergeCell ref="P4:Q5"/>
    <mergeCell ref="N7:N8"/>
    <mergeCell ref="O7:O8"/>
    <mergeCell ref="P7:P8"/>
    <mergeCell ref="Q7:Q8"/>
    <mergeCell ref="A1:R1"/>
    <mergeCell ref="A3:B3"/>
    <mergeCell ref="D3:F3"/>
    <mergeCell ref="G3:I3"/>
    <mergeCell ref="J3:L3"/>
    <mergeCell ref="N3:Q3"/>
  </mergeCells>
  <pageMargins left="0.31496062992125984" right="0.31496062992125984" top="0.35433070866141736" bottom="0.15748031496062992" header="0.31496062992125984" footer="0.31496062992125984"/>
  <pageSetup paperSize="9" scale="80" orientation="landscape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17"/>
  <sheetViews>
    <sheetView zoomScale="90" zoomScaleNormal="90" workbookViewId="0">
      <selection activeCell="L10" sqref="L10"/>
    </sheetView>
  </sheetViews>
  <sheetFormatPr defaultRowHeight="15"/>
  <cols>
    <col min="1" max="1" width="10.5703125" customWidth="1"/>
    <col min="2" max="2" width="7.28515625" customWidth="1"/>
    <col min="3" max="3" width="23.5703125" bestFit="1" customWidth="1"/>
    <col min="4" max="5" width="8.85546875" style="41" customWidth="1"/>
    <col min="6" max="6" width="16.5703125" style="41" customWidth="1"/>
    <col min="7" max="8" width="9.42578125" style="41" customWidth="1"/>
    <col min="9" max="9" width="15.7109375" style="41" customWidth="1"/>
    <col min="10" max="10" width="12.85546875" style="41" customWidth="1"/>
    <col min="11" max="11" width="14.7109375" style="41" customWidth="1"/>
    <col min="12" max="12" width="10.5703125" style="41" customWidth="1"/>
    <col min="13" max="13" width="9.140625" style="41"/>
  </cols>
  <sheetData>
    <row r="1" spans="1:14" ht="19.5">
      <c r="A1" s="433" t="s">
        <v>149</v>
      </c>
      <c r="B1" s="433"/>
      <c r="C1" s="433"/>
      <c r="D1" s="433"/>
      <c r="E1" s="433"/>
      <c r="F1" s="433"/>
      <c r="G1" s="433"/>
      <c r="H1" s="433"/>
      <c r="I1" s="433"/>
      <c r="J1" s="433"/>
      <c r="K1" s="433"/>
      <c r="L1" s="433"/>
      <c r="M1" s="433"/>
    </row>
    <row r="2" spans="1:14" ht="10.5" customHeight="1"/>
    <row r="3" spans="1:14" ht="15.75" customHeight="1" thickBot="1">
      <c r="A3" s="432" t="s">
        <v>4</v>
      </c>
      <c r="B3" s="432"/>
      <c r="C3" s="432"/>
      <c r="D3" s="432"/>
      <c r="E3" s="432"/>
      <c r="F3" s="432"/>
      <c r="G3" s="432"/>
      <c r="H3" s="432"/>
      <c r="I3" s="432"/>
      <c r="J3" s="432"/>
      <c r="K3" s="432"/>
      <c r="L3" s="432"/>
      <c r="M3" s="432"/>
    </row>
    <row r="4" spans="1:14" s="1" customFormat="1" ht="25.5" customHeight="1">
      <c r="A4" s="335" t="s">
        <v>6</v>
      </c>
      <c r="B4" s="443" t="s">
        <v>7</v>
      </c>
      <c r="C4" s="440" t="s">
        <v>2</v>
      </c>
      <c r="D4" s="445" t="s">
        <v>5</v>
      </c>
      <c r="E4" s="447" t="s">
        <v>75</v>
      </c>
      <c r="F4" s="447" t="s">
        <v>55</v>
      </c>
      <c r="G4" s="440" t="s">
        <v>76</v>
      </c>
      <c r="H4" s="440" t="s">
        <v>77</v>
      </c>
      <c r="I4" s="440" t="s">
        <v>56</v>
      </c>
      <c r="J4" s="331" t="s">
        <v>14</v>
      </c>
      <c r="K4" s="449"/>
      <c r="L4" s="331" t="s">
        <v>78</v>
      </c>
      <c r="M4" s="442"/>
      <c r="N4" s="41"/>
    </row>
    <row r="5" spans="1:14" s="1" customFormat="1" ht="22.5" customHeight="1" thickBot="1">
      <c r="A5" s="337"/>
      <c r="B5" s="444"/>
      <c r="C5" s="441"/>
      <c r="D5" s="446"/>
      <c r="E5" s="448"/>
      <c r="F5" s="448"/>
      <c r="G5" s="441"/>
      <c r="H5" s="441"/>
      <c r="I5" s="441"/>
      <c r="J5" s="35" t="s">
        <v>1</v>
      </c>
      <c r="K5" s="35" t="s">
        <v>0</v>
      </c>
      <c r="L5" s="56" t="s">
        <v>79</v>
      </c>
      <c r="M5" s="57" t="s">
        <v>80</v>
      </c>
      <c r="N5" s="41"/>
    </row>
    <row r="6" spans="1:14" s="2" customFormat="1" ht="30" customHeight="1">
      <c r="A6" s="434" t="s">
        <v>81</v>
      </c>
      <c r="B6" s="37">
        <v>1</v>
      </c>
      <c r="C6" s="46" t="s">
        <v>23</v>
      </c>
      <c r="D6" s="47">
        <v>3</v>
      </c>
      <c r="E6" s="67">
        <v>41.62</v>
      </c>
      <c r="F6" s="66">
        <f>(41.87+41.74+41.88+41.7+41.62+42.41+42.08+42+41.9+41.73+41.71+41.98+41.69+41.67+41.8+41.73+41.72+41.85+41.99+41.87+41.77+41.77+41.81+41.9+42.14+42.26+42.6)/27</f>
        <v>41.895925925925923</v>
      </c>
      <c r="G6" s="196">
        <v>28</v>
      </c>
      <c r="H6" s="46">
        <f>G6-0</f>
        <v>28</v>
      </c>
      <c r="I6" s="48">
        <v>1.3692129629629629E-2</v>
      </c>
      <c r="J6" s="48">
        <f>I6</f>
        <v>1.3692129629629629E-2</v>
      </c>
      <c r="K6" s="49">
        <f>J6</f>
        <v>1.3692129629629629E-2</v>
      </c>
      <c r="L6" s="58">
        <f>F6-E6</f>
        <v>0.27592592592592524</v>
      </c>
      <c r="M6" s="50"/>
    </row>
    <row r="7" spans="1:14" s="2" customFormat="1" ht="30" customHeight="1" thickBot="1">
      <c r="A7" s="435"/>
      <c r="B7" s="5">
        <v>2</v>
      </c>
      <c r="C7" s="29" t="s">
        <v>24</v>
      </c>
      <c r="D7" s="26">
        <v>12</v>
      </c>
      <c r="E7" s="207">
        <v>42.07</v>
      </c>
      <c r="F7" s="65">
        <f>(42.86+43.13+42.53+42.25+42.61+42.81+42.49+42.3+42.47+42.72+42.57+42.45+42.59+42.61+43+43.04+42.91+42.14+42.39+42.24+42.37+42.24+42.16+42.5+42.33+42.07+42.07+42.91+42.66+42.16+42.1+42.52+42.18+42.53+42.46+42.31+42.75+42.3+42.31+42.21+42.5+42.44+42.32+42.44+42.93+42.69)/46</f>
        <v>42.490652173913048</v>
      </c>
      <c r="G7" s="169">
        <v>75</v>
      </c>
      <c r="H7" s="3">
        <f>G7-G6</f>
        <v>47</v>
      </c>
      <c r="I7" s="22">
        <v>3.75462962962963E-2</v>
      </c>
      <c r="J7" s="22">
        <f>I7-I6</f>
        <v>2.3854166666666669E-2</v>
      </c>
      <c r="K7" s="23">
        <f>J7</f>
        <v>2.3854166666666669E-2</v>
      </c>
      <c r="L7" s="31">
        <f t="shared" ref="L7:L13" si="0">F7-E7</f>
        <v>0.42065217391304799</v>
      </c>
      <c r="M7" s="51"/>
    </row>
    <row r="8" spans="1:14" s="2" customFormat="1" ht="30" customHeight="1" thickBot="1">
      <c r="A8" s="435"/>
      <c r="B8" s="5">
        <v>3</v>
      </c>
      <c r="C8" s="3" t="s">
        <v>23</v>
      </c>
      <c r="D8" s="26">
        <v>1</v>
      </c>
      <c r="E8" s="190">
        <v>41.52</v>
      </c>
      <c r="F8" s="65">
        <f>(42.01+41.91+41.75+41.75+41.77+42.12+41.98+41.92+41.82+41.65+41.73+41.77+41.82+41.75+41.69+41.58+41.67+41.52+41.64+41.66+41.64+42.53+42.19+41.62+41.61+41.58+42.4+42.61+42.66+41.89+41.71+41.66+41.9+41.72+41.69+41.65+42.93+41.82+41.85+42.97+42.12+41.77+42.28+41.83+41.86+41.8+41.72+41.81+41.7+41.82+41.73+42+42.29+44.32+41.98+41.84+41.85+41.97+41.68+41.77+41.94+41.85+41.85+41.82+41.97+41.94+41.75+42.41)/68</f>
        <v>41.938382352941169</v>
      </c>
      <c r="G8" s="169">
        <v>144</v>
      </c>
      <c r="H8" s="3">
        <f t="shared" ref="H8:H12" si="1">G8-G7</f>
        <v>69</v>
      </c>
      <c r="I8" s="22">
        <v>7.2083333333333333E-2</v>
      </c>
      <c r="J8" s="22">
        <f>I8-I7</f>
        <v>3.4537037037037033E-2</v>
      </c>
      <c r="K8" s="23">
        <f>J8+J6</f>
        <v>4.8229166666666663E-2</v>
      </c>
      <c r="L8" s="31">
        <f t="shared" si="0"/>
        <v>0.41838235294116544</v>
      </c>
      <c r="M8" s="51"/>
    </row>
    <row r="9" spans="1:14" s="2" customFormat="1" ht="30" customHeight="1">
      <c r="A9" s="435"/>
      <c r="B9" s="5">
        <v>4</v>
      </c>
      <c r="C9" s="3" t="s">
        <v>24</v>
      </c>
      <c r="D9" s="26">
        <v>13</v>
      </c>
      <c r="E9" s="194">
        <v>41.99</v>
      </c>
      <c r="F9" s="65">
        <f>(42.66+42.48+42.33+42.27+42.31+42.34+42.56+42.43+42.4+42.27+42.2+42.2+42.2+42.3+41.98+41.97+42.2+42.15+42.01+42.11+41.99+42.16+42.01+42.36+42.16+42.11)/26</f>
        <v>42.23692307692307</v>
      </c>
      <c r="G9" s="169">
        <v>171</v>
      </c>
      <c r="H9" s="3">
        <f t="shared" si="1"/>
        <v>27</v>
      </c>
      <c r="I9" s="22">
        <v>8.5995370370370375E-2</v>
      </c>
      <c r="J9" s="22">
        <f t="shared" ref="J9:J12" si="2">I9-I8</f>
        <v>1.3912037037037042E-2</v>
      </c>
      <c r="K9" s="25">
        <f>J9+J7</f>
        <v>3.7766203703703712E-2</v>
      </c>
      <c r="L9" s="53">
        <f t="shared" si="0"/>
        <v>0.2469230769230677</v>
      </c>
      <c r="M9" s="51"/>
    </row>
    <row r="10" spans="1:14" s="2" customFormat="1" ht="30" customHeight="1">
      <c r="A10" s="435"/>
      <c r="B10" s="5">
        <v>5</v>
      </c>
      <c r="C10" s="3" t="s">
        <v>24</v>
      </c>
      <c r="D10" s="26">
        <v>5</v>
      </c>
      <c r="E10" s="239">
        <v>42.01</v>
      </c>
      <c r="F10" s="65">
        <f>(42.6+42.7+42.58+42.82+42.75+42.57+42.81+42.43+42.51+42.81+42.95+42.54+42.46+42.32+42.51+42.43+42.31+42.38+42.67+42.59+42.22+42.63+42.4+42.68+42.41+42.39+42.44+42.01+42.15+42.72+42.56+42.5+42.62+42.47+42.22+42.36+42.35+42.29+42.47+42.53+42.75+42.55+42.29+42.7)/44</f>
        <v>42.510227272727271</v>
      </c>
      <c r="G10" s="169">
        <v>216</v>
      </c>
      <c r="H10" s="3">
        <f t="shared" si="1"/>
        <v>45</v>
      </c>
      <c r="I10" s="22">
        <v>0.10888888888888888</v>
      </c>
      <c r="J10" s="22">
        <f t="shared" si="2"/>
        <v>2.2893518518518507E-2</v>
      </c>
      <c r="K10" s="25">
        <f>J10+K9</f>
        <v>6.0659722222222219E-2</v>
      </c>
      <c r="L10" s="31">
        <f t="shared" si="0"/>
        <v>0.50022727272727252</v>
      </c>
      <c r="M10" s="51"/>
    </row>
    <row r="11" spans="1:14" s="2" customFormat="1" ht="30" customHeight="1" thickBot="1">
      <c r="A11" s="435"/>
      <c r="B11" s="5">
        <v>6</v>
      </c>
      <c r="C11" s="3" t="s">
        <v>23</v>
      </c>
      <c r="D11" s="26">
        <v>2</v>
      </c>
      <c r="E11" s="193">
        <v>41.7</v>
      </c>
      <c r="F11" s="65">
        <f>(42.4+42.23+42.23+42.14+41.96+41.94+41.98+42.01+41.91+41.83+42.19+41.8+41.91+42.25+42.15+41.89+41.88+42.01+41.86+41.83+41.73+41.9+41.72+41.95+42.72+42.17+42.2+42.45+42.93+41.96+41.7+42.04+41.95+41.95+42.16+41.85+41.87+41.91+41.75+41.8+41.74+41.97+41.79+42.07+42.39+41.95)/46</f>
        <v>42.022173913043488</v>
      </c>
      <c r="G11" s="169">
        <v>263</v>
      </c>
      <c r="H11" s="3">
        <f t="shared" si="1"/>
        <v>47</v>
      </c>
      <c r="I11" s="22">
        <v>0.13251157407407407</v>
      </c>
      <c r="J11" s="22">
        <f t="shared" si="2"/>
        <v>2.3622685185185191E-2</v>
      </c>
      <c r="K11" s="25">
        <f>J11+K8</f>
        <v>7.1851851851851861E-2</v>
      </c>
      <c r="L11" s="31">
        <f t="shared" si="0"/>
        <v>0.32217391304348553</v>
      </c>
      <c r="M11" s="51"/>
    </row>
    <row r="12" spans="1:14" s="2" customFormat="1" ht="30" customHeight="1" thickBot="1">
      <c r="A12" s="435"/>
      <c r="B12" s="5">
        <v>7</v>
      </c>
      <c r="C12" s="3" t="s">
        <v>24</v>
      </c>
      <c r="D12" s="26">
        <v>21</v>
      </c>
      <c r="E12" s="198">
        <v>41.77</v>
      </c>
      <c r="F12" s="65">
        <f>(42.26+42.42+42.33+42.29+41.93+42.06+42.02+42.24+42.08+41.91+42.06+42.36+42.37+42.18+41.98+42.21+41.96+41.77+42.89+42.22+42.09+42.14+42.04+42.39+42.11+42.01+41.93+41.97+42.38)/29</f>
        <v>42.15862068965518</v>
      </c>
      <c r="G12" s="169">
        <v>294</v>
      </c>
      <c r="H12" s="3">
        <f t="shared" si="1"/>
        <v>31</v>
      </c>
      <c r="I12" s="22">
        <v>0.14972222222222223</v>
      </c>
      <c r="J12" s="22">
        <f t="shared" si="2"/>
        <v>1.7210648148148155E-2</v>
      </c>
      <c r="K12" s="24">
        <f>J12+K10</f>
        <v>7.7870370370370368E-2</v>
      </c>
      <c r="L12" s="31">
        <f t="shared" si="0"/>
        <v>0.38862068965517693</v>
      </c>
      <c r="M12" s="59">
        <f>AVERAGE(L7,L9,L10,L12)</f>
        <v>0.38910580330464128</v>
      </c>
      <c r="N12" s="2" t="s">
        <v>24</v>
      </c>
    </row>
    <row r="13" spans="1:14" s="2" customFormat="1" ht="30" customHeight="1" thickBot="1">
      <c r="A13" s="435"/>
      <c r="B13" s="61" t="s">
        <v>13</v>
      </c>
      <c r="C13" s="6" t="s">
        <v>23</v>
      </c>
      <c r="D13" s="6">
        <v>7</v>
      </c>
      <c r="E13" s="194">
        <v>41.72</v>
      </c>
      <c r="F13" s="195">
        <f>(41.94+41.89+41.86+41.82+41.92+41.82+41.74+41.9+41.89+41.91+41.72+41.99+41.89+41.75+41.73+41.84+41.9+41.81+41.77+41.88+41.85+41.85+41.86+41.77+41.76+42+41.82+42.58+42.86+42.42+42.07+41.92+43.34)/33</f>
        <v>41.971818181818172</v>
      </c>
      <c r="G13" s="197">
        <v>328</v>
      </c>
      <c r="H13" s="32">
        <f>G13-G12</f>
        <v>34</v>
      </c>
      <c r="I13" s="33">
        <v>0.16690972222222222</v>
      </c>
      <c r="J13" s="33">
        <f>I13-I12</f>
        <v>1.7187499999999994E-2</v>
      </c>
      <c r="K13" s="55">
        <f>J13+K11</f>
        <v>8.9039351851851856E-2</v>
      </c>
      <c r="L13" s="205">
        <f t="shared" si="0"/>
        <v>0.25181818181817306</v>
      </c>
      <c r="M13" s="60">
        <f>AVERAGE(L6,L8,L11,L13)</f>
        <v>0.31707509343218732</v>
      </c>
      <c r="N13" s="2" t="s">
        <v>58</v>
      </c>
    </row>
    <row r="14" spans="1:14" ht="16.5" thickBot="1">
      <c r="A14" s="436"/>
      <c r="B14" s="437"/>
      <c r="C14" s="438"/>
      <c r="D14" s="439"/>
      <c r="E14" s="62">
        <f>AVERAGE(E6:E13)</f>
        <v>41.8</v>
      </c>
      <c r="F14" s="63">
        <f>AVERAGE(F6:F13)</f>
        <v>42.15309044836841</v>
      </c>
      <c r="G14" s="12"/>
      <c r="H14" s="12"/>
      <c r="I14" s="12"/>
      <c r="J14" s="12"/>
      <c r="K14" s="12"/>
      <c r="L14" s="12"/>
      <c r="M14" s="12"/>
    </row>
    <row r="16" spans="1:14">
      <c r="A16" s="261"/>
    </row>
    <row r="17" spans="1:1" ht="15.75">
      <c r="A17" s="30"/>
    </row>
  </sheetData>
  <mergeCells count="15">
    <mergeCell ref="A3:M3"/>
    <mergeCell ref="A1:M1"/>
    <mergeCell ref="A6:A14"/>
    <mergeCell ref="B14:D14"/>
    <mergeCell ref="I4:I5"/>
    <mergeCell ref="L4:M4"/>
    <mergeCell ref="A4:A5"/>
    <mergeCell ref="B4:B5"/>
    <mergeCell ref="C4:C5"/>
    <mergeCell ref="D4:D5"/>
    <mergeCell ref="E4:E5"/>
    <mergeCell ref="F4:F5"/>
    <mergeCell ref="G4:G5"/>
    <mergeCell ref="H4:H5"/>
    <mergeCell ref="J4:K4"/>
  </mergeCells>
  <pageMargins left="0.31496062992125984" right="0.31496062992125984" top="0.55118110236220474" bottom="0.11811023622047245" header="0.31496062992125984" footer="0.31496062992125984"/>
  <pageSetup paperSize="9" scale="93" orientation="portrait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17"/>
  <sheetViews>
    <sheetView zoomScale="90" zoomScaleNormal="90" workbookViewId="0">
      <selection activeCell="E12" sqref="E12"/>
    </sheetView>
  </sheetViews>
  <sheetFormatPr defaultRowHeight="15"/>
  <cols>
    <col min="1" max="1" width="10.5703125" customWidth="1"/>
    <col min="2" max="2" width="7.28515625" customWidth="1"/>
    <col min="3" max="3" width="23.5703125" bestFit="1" customWidth="1"/>
    <col min="4" max="5" width="8.85546875" style="41" customWidth="1"/>
    <col min="6" max="6" width="16.5703125" style="41" customWidth="1"/>
    <col min="7" max="8" width="9.42578125" style="41" customWidth="1"/>
    <col min="9" max="9" width="15.7109375" style="41" customWidth="1"/>
    <col min="10" max="10" width="12.85546875" style="41" customWidth="1"/>
    <col min="11" max="11" width="14.7109375" style="41" customWidth="1"/>
    <col min="12" max="12" width="10.5703125" style="41" customWidth="1"/>
    <col min="13" max="13" width="9.140625" style="41"/>
  </cols>
  <sheetData>
    <row r="1" spans="1:14" ht="19.5">
      <c r="A1" s="433" t="s">
        <v>149</v>
      </c>
      <c r="B1" s="433"/>
      <c r="C1" s="433"/>
      <c r="D1" s="433"/>
      <c r="E1" s="433"/>
      <c r="F1" s="433"/>
      <c r="G1" s="433"/>
      <c r="H1" s="433"/>
      <c r="I1" s="433"/>
      <c r="J1" s="433"/>
      <c r="K1" s="433"/>
      <c r="L1" s="433"/>
      <c r="M1" s="433"/>
    </row>
    <row r="2" spans="1:14" ht="10.5" customHeight="1"/>
    <row r="3" spans="1:14" ht="15.75" customHeight="1" thickBot="1">
      <c r="A3" s="432" t="s">
        <v>4</v>
      </c>
      <c r="B3" s="432"/>
      <c r="C3" s="432"/>
      <c r="D3" s="432"/>
      <c r="E3" s="432"/>
      <c r="F3" s="432"/>
      <c r="G3" s="432"/>
      <c r="H3" s="432"/>
      <c r="I3" s="432"/>
      <c r="J3" s="432"/>
      <c r="K3" s="432"/>
      <c r="L3" s="432"/>
      <c r="M3" s="432"/>
    </row>
    <row r="4" spans="1:14" s="1" customFormat="1" ht="25.5" customHeight="1">
      <c r="A4" s="335" t="s">
        <v>6</v>
      </c>
      <c r="B4" s="443" t="s">
        <v>7</v>
      </c>
      <c r="C4" s="440" t="s">
        <v>2</v>
      </c>
      <c r="D4" s="445" t="s">
        <v>5</v>
      </c>
      <c r="E4" s="447" t="s">
        <v>75</v>
      </c>
      <c r="F4" s="447" t="s">
        <v>55</v>
      </c>
      <c r="G4" s="440" t="s">
        <v>76</v>
      </c>
      <c r="H4" s="440" t="s">
        <v>77</v>
      </c>
      <c r="I4" s="440" t="s">
        <v>56</v>
      </c>
      <c r="J4" s="331" t="s">
        <v>14</v>
      </c>
      <c r="K4" s="449"/>
      <c r="L4" s="331" t="s">
        <v>78</v>
      </c>
      <c r="M4" s="442"/>
      <c r="N4" s="41"/>
    </row>
    <row r="5" spans="1:14" s="1" customFormat="1" ht="22.5" customHeight="1" thickBot="1">
      <c r="A5" s="337"/>
      <c r="B5" s="444"/>
      <c r="C5" s="441"/>
      <c r="D5" s="446"/>
      <c r="E5" s="448"/>
      <c r="F5" s="448"/>
      <c r="G5" s="441"/>
      <c r="H5" s="441"/>
      <c r="I5" s="441"/>
      <c r="J5" s="35" t="s">
        <v>1</v>
      </c>
      <c r="K5" s="35" t="s">
        <v>0</v>
      </c>
      <c r="L5" s="56" t="s">
        <v>79</v>
      </c>
      <c r="M5" s="57" t="s">
        <v>80</v>
      </c>
      <c r="N5" s="41"/>
    </row>
    <row r="6" spans="1:14" s="2" customFormat="1" ht="30" customHeight="1">
      <c r="A6" s="434" t="s">
        <v>15</v>
      </c>
      <c r="B6" s="37">
        <v>1</v>
      </c>
      <c r="C6" s="196" t="s">
        <v>19</v>
      </c>
      <c r="D6" s="199">
        <v>12</v>
      </c>
      <c r="E6" s="67">
        <v>41.89</v>
      </c>
      <c r="F6" s="66">
        <f>(42.14+42.46+42.29+42.09+42.03+42.05+42.17+42.12+41.89+42.07+42.11+42.17+42.11+42.33+42.28+42.33+42.09+42.31+42.08+42.28+42.29)/21</f>
        <v>42.175714285714292</v>
      </c>
      <c r="G6" s="196">
        <v>22</v>
      </c>
      <c r="H6" s="46">
        <f>G6-0</f>
        <v>22</v>
      </c>
      <c r="I6" s="48">
        <v>1.0856481481481481E-2</v>
      </c>
      <c r="J6" s="48">
        <f>I6</f>
        <v>1.0856481481481481E-2</v>
      </c>
      <c r="K6" s="49">
        <f>J6</f>
        <v>1.0856481481481481E-2</v>
      </c>
      <c r="L6" s="53">
        <f>F6-E6</f>
        <v>0.2857142857142918</v>
      </c>
      <c r="M6" s="50"/>
    </row>
    <row r="7" spans="1:14" s="2" customFormat="1" ht="30" customHeight="1" thickBot="1">
      <c r="A7" s="435"/>
      <c r="B7" s="5">
        <v>2</v>
      </c>
      <c r="C7" s="208" t="s">
        <v>110</v>
      </c>
      <c r="D7" s="200">
        <v>21</v>
      </c>
      <c r="E7" s="240">
        <v>42</v>
      </c>
      <c r="F7" s="65">
        <f>(42.51+42.93+42.4+42.07+42.2+42.28+42.58+42.53+42.32+42.43+42.34+42+42.27+42.04+41.18+42.34+42.59+42.53+42.5+42.45+42.52+42.15+42.56+42.1+42.23+42.3+42.51+42.78+43.81+43.16+42.19+42.3+42.2+43.1+42.32+42.25+42.22+42.58+42.61+42.37+42.35+42.04+42.4+42.51+42.54+42.22+42.39+42.6+42.12+42.93+42.73+43.51+42.63)/53</f>
        <v>42.447547169811315</v>
      </c>
      <c r="G7" s="169">
        <v>76</v>
      </c>
      <c r="H7" s="3">
        <f>G7-G6</f>
        <v>54</v>
      </c>
      <c r="I7" s="22">
        <v>3.8217592592592588E-2</v>
      </c>
      <c r="J7" s="22">
        <f t="shared" ref="J7:J11" si="0">I7-I6</f>
        <v>2.7361111111111107E-2</v>
      </c>
      <c r="K7" s="23">
        <f>J7</f>
        <v>2.7361111111111107E-2</v>
      </c>
      <c r="L7" s="31">
        <f t="shared" ref="L7:L13" si="1">F7-E7</f>
        <v>0.44754716981131537</v>
      </c>
      <c r="M7" s="51"/>
    </row>
    <row r="8" spans="1:14" s="2" customFormat="1" ht="30" customHeight="1" thickBot="1">
      <c r="A8" s="435"/>
      <c r="B8" s="5">
        <v>3</v>
      </c>
      <c r="C8" s="169" t="s">
        <v>19</v>
      </c>
      <c r="D8" s="200">
        <v>9</v>
      </c>
      <c r="E8" s="204">
        <v>41.61</v>
      </c>
      <c r="F8" s="65">
        <f>(41.8+42.05+42.11+42.04+41.95+42.1+41.7+41.85+41.96+41.75+41.97+41.84+42.1+42.08+41.85+41.88+41.97+41.73+41.75+41.98+42.23+41.84+41.82+41.79+41.8+42.51+42.58+42.34+41.65+41.61+41.97+41.69+41.76+41.69+41.97+41.78+41.99+42.24+42.1+41.86+41.86+41.97+41.96+41.87+41.72+41.83+41.85+41.87+41.85+42.32+42.84+42.6+42.24+42.16+42.04+41.86+41.85+42.62+41.78+42.88+41.77+41.75+41.86+41.73+42.04+41.97+42.21)/67</f>
        <v>41.98477611940298</v>
      </c>
      <c r="G8" s="169">
        <v>144</v>
      </c>
      <c r="H8" s="3">
        <f t="shared" ref="H8:H12" si="2">G8-G7</f>
        <v>68</v>
      </c>
      <c r="I8" s="22">
        <v>7.2002314814814811E-2</v>
      </c>
      <c r="J8" s="22">
        <f t="shared" si="0"/>
        <v>3.3784722222222223E-2</v>
      </c>
      <c r="K8" s="23">
        <f>J8+K6</f>
        <v>4.4641203703703704E-2</v>
      </c>
      <c r="L8" s="31">
        <f t="shared" si="1"/>
        <v>0.37477611940298061</v>
      </c>
      <c r="M8" s="51"/>
    </row>
    <row r="9" spans="1:14" s="2" customFormat="1" ht="30" customHeight="1" thickBot="1">
      <c r="A9" s="435"/>
      <c r="B9" s="5">
        <v>4</v>
      </c>
      <c r="C9" s="169" t="s">
        <v>110</v>
      </c>
      <c r="D9" s="200">
        <v>3</v>
      </c>
      <c r="E9" s="241">
        <v>41.95</v>
      </c>
      <c r="F9" s="65">
        <f>(42.41+42.34+42.21+42.66+42.92+42.5+42.28+42+42.21+42.22+42.38+42.03+42.17+42.8+42.32+41.97+42.27+42.05+42.03+42.06+42.18+42.35+42.05+42.11+42.05+42.22+42.15+41.97+41.95+42.43+42.01+42.21+42.09+42.09+42.5+42.27+42.37+41.96+42.4+42.05+42.34)/41</f>
        <v>42.233658536585367</v>
      </c>
      <c r="G9" s="169">
        <v>186</v>
      </c>
      <c r="H9" s="3">
        <f t="shared" si="2"/>
        <v>42</v>
      </c>
      <c r="I9" s="22">
        <v>9.3275462962962963E-2</v>
      </c>
      <c r="J9" s="22">
        <f t="shared" si="0"/>
        <v>2.1273148148148152E-2</v>
      </c>
      <c r="K9" s="25">
        <f>J9+K7</f>
        <v>4.8634259259259259E-2</v>
      </c>
      <c r="L9" s="53">
        <f t="shared" si="1"/>
        <v>0.28365853658536366</v>
      </c>
      <c r="M9" s="51"/>
    </row>
    <row r="10" spans="1:14" s="2" customFormat="1" ht="30" customHeight="1">
      <c r="A10" s="435"/>
      <c r="B10" s="5">
        <v>5</v>
      </c>
      <c r="C10" s="169" t="s">
        <v>19</v>
      </c>
      <c r="D10" s="200">
        <v>21</v>
      </c>
      <c r="E10" s="191">
        <v>41.74</v>
      </c>
      <c r="F10" s="65">
        <f>(42.31+42.26+43.08+42.28+42.05+42.22+42.12+42.09+42.01+42.02+42.02+42.07+42.02+42.03+41.92+42+42.21+41.97+41.91+42.01+41.89+42.01+41.87+41.97+41.77+41.84+41.93+42.05+42.01+42.05+42+41.93+41.77+42.05+41.74+41.93+42.03+41.87+41.99+42.31+41.99+42.01+43+42.08+41.95+42.06+42.19+41.84+41.95+42.28+42.13+42.07+42.38+42.07+42.05+42.27+42.54+42.11+42.52+42.38+42.26+41.97+41.87+42.1+42.3)/65</f>
        <v>42.092000000000006</v>
      </c>
      <c r="G10" s="169">
        <v>252</v>
      </c>
      <c r="H10" s="3">
        <f t="shared" si="2"/>
        <v>66</v>
      </c>
      <c r="I10" s="22">
        <v>0.12619212962962964</v>
      </c>
      <c r="J10" s="22">
        <f t="shared" si="0"/>
        <v>3.2916666666666677E-2</v>
      </c>
      <c r="K10" s="25">
        <f>K8+J10</f>
        <v>7.7557870370370374E-2</v>
      </c>
      <c r="L10" s="31">
        <f t="shared" si="1"/>
        <v>0.35200000000000387</v>
      </c>
      <c r="M10" s="51"/>
    </row>
    <row r="11" spans="1:14" s="2" customFormat="1" ht="30" customHeight="1">
      <c r="A11" s="435"/>
      <c r="B11" s="5">
        <v>6</v>
      </c>
      <c r="C11" s="169" t="s">
        <v>110</v>
      </c>
      <c r="D11" s="200">
        <v>15</v>
      </c>
      <c r="E11" s="194">
        <v>42.71</v>
      </c>
      <c r="F11" s="65">
        <f>(43.3+43.09+42.97+42.96+42.9+42.71+42.81+43.35+42.86+44.21+43.21+42.96+42.83+43.01+42.9+43.16+43.25+42.8)/18</f>
        <v>43.071111111111108</v>
      </c>
      <c r="G11" s="169">
        <v>271</v>
      </c>
      <c r="H11" s="3">
        <f t="shared" si="2"/>
        <v>19</v>
      </c>
      <c r="I11" s="22">
        <v>0.13641203703703705</v>
      </c>
      <c r="J11" s="259">
        <f t="shared" si="0"/>
        <v>1.0219907407407414E-2</v>
      </c>
      <c r="K11" s="25">
        <f>K9+J11</f>
        <v>5.8854166666666673E-2</v>
      </c>
      <c r="L11" s="31">
        <f t="shared" si="1"/>
        <v>0.36111111111110716</v>
      </c>
      <c r="M11" s="51"/>
    </row>
    <row r="12" spans="1:14" s="2" customFormat="1" ht="30" customHeight="1">
      <c r="A12" s="435"/>
      <c r="B12" s="5">
        <v>7</v>
      </c>
      <c r="C12" s="169" t="s">
        <v>19</v>
      </c>
      <c r="D12" s="200">
        <v>9</v>
      </c>
      <c r="E12" s="239">
        <v>41.9</v>
      </c>
      <c r="F12" s="65">
        <f>(42.44+42.29+42.31+42.36+42.33+42.37+42.47+42.25+42.26+42.06+41.94+42.08+41.98+42.38+42+42.19+41.9+42.04+42.07+42.52)/20</f>
        <v>42.211999999999989</v>
      </c>
      <c r="G12" s="169">
        <v>293</v>
      </c>
      <c r="H12" s="3">
        <f t="shared" si="2"/>
        <v>22</v>
      </c>
      <c r="I12" s="22">
        <v>0.14939814814814814</v>
      </c>
      <c r="J12" s="22">
        <f>I12-I11</f>
        <v>1.2986111111111087E-2</v>
      </c>
      <c r="K12" s="24">
        <f>K10+J12</f>
        <v>9.0543981481481461E-2</v>
      </c>
      <c r="L12" s="31">
        <f t="shared" si="1"/>
        <v>0.31199999999999051</v>
      </c>
      <c r="M12" s="59">
        <f>AVERAGE(L6,L8,L10,L12)</f>
        <v>0.3311226012793167</v>
      </c>
      <c r="N12" s="2" t="s">
        <v>141</v>
      </c>
    </row>
    <row r="13" spans="1:14" s="2" customFormat="1" ht="30" customHeight="1" thickBot="1">
      <c r="A13" s="435"/>
      <c r="B13" s="61" t="s">
        <v>13</v>
      </c>
      <c r="C13" s="207" t="s">
        <v>110</v>
      </c>
      <c r="D13" s="207">
        <v>14</v>
      </c>
      <c r="E13" s="194">
        <v>42.13</v>
      </c>
      <c r="F13" s="195">
        <f>(42.26+42.24+42.42+42.22+42.36+42.34+42.13+42.3+42.15+42.31+42.29+42.14+42.39+42.56+42.47+42.37+42.34+42.94+42.3+42.49+42.5+42.55+42.31+42.4+42.57+42.29+42.32+42.71+42.65+42.31+42.32+42.54+42.28+42.45)/34</f>
        <v>42.388823529411766</v>
      </c>
      <c r="G13" s="197">
        <v>328</v>
      </c>
      <c r="H13" s="32">
        <f>G13-G12</f>
        <v>35</v>
      </c>
      <c r="I13" s="33">
        <v>0.16725694444444447</v>
      </c>
      <c r="J13" s="33">
        <f>I13-I12</f>
        <v>1.7858796296296331E-2</v>
      </c>
      <c r="K13" s="55">
        <f>K11+J13</f>
        <v>7.6712962962963011E-2</v>
      </c>
      <c r="L13" s="54">
        <f t="shared" si="1"/>
        <v>0.25882352941176379</v>
      </c>
      <c r="M13" s="60">
        <f>AVERAGE(L7,L9,L11,L13)</f>
        <v>0.3377850867298875</v>
      </c>
      <c r="N13" s="2" t="s">
        <v>74</v>
      </c>
    </row>
    <row r="14" spans="1:14" ht="16.5" thickBot="1">
      <c r="A14" s="436"/>
      <c r="B14" s="437"/>
      <c r="C14" s="438"/>
      <c r="D14" s="439"/>
      <c r="E14" s="62">
        <f>AVERAGE(E6:E13)</f>
        <v>41.991250000000001</v>
      </c>
      <c r="F14" s="63">
        <f>AVERAGE(F6:F13)</f>
        <v>42.3257038440046</v>
      </c>
      <c r="G14" s="12"/>
      <c r="H14" s="12"/>
      <c r="I14" s="12"/>
      <c r="J14" s="254" t="s">
        <v>165</v>
      </c>
      <c r="K14" s="12"/>
      <c r="L14" s="12"/>
      <c r="M14" s="12"/>
    </row>
    <row r="16" spans="1:14">
      <c r="A16" s="261"/>
    </row>
    <row r="17" spans="1:1" ht="15.75">
      <c r="A17" s="30"/>
    </row>
  </sheetData>
  <mergeCells count="15">
    <mergeCell ref="A1:M1"/>
    <mergeCell ref="A3:M3"/>
    <mergeCell ref="H4:H5"/>
    <mergeCell ref="L4:M4"/>
    <mergeCell ref="A6:A14"/>
    <mergeCell ref="B14:D14"/>
    <mergeCell ref="J4:K4"/>
    <mergeCell ref="A4:A5"/>
    <mergeCell ref="B4:B5"/>
    <mergeCell ref="C4:C5"/>
    <mergeCell ref="D4:D5"/>
    <mergeCell ref="E4:E5"/>
    <mergeCell ref="F4:F5"/>
    <mergeCell ref="G4:G5"/>
    <mergeCell ref="I4:I5"/>
  </mergeCells>
  <pageMargins left="0.31496062992125984" right="0.31496062992125984" top="0.55118110236220474" bottom="0.11811023622047245" header="0.31496062992125984" footer="0.31496062992125984"/>
  <pageSetup paperSize="9" scale="93" orientation="portrait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17"/>
  <sheetViews>
    <sheetView zoomScale="90" zoomScaleNormal="90" workbookViewId="0">
      <selection activeCell="A15" sqref="A15"/>
    </sheetView>
  </sheetViews>
  <sheetFormatPr defaultRowHeight="15"/>
  <cols>
    <col min="1" max="1" width="10.5703125" customWidth="1"/>
    <col min="2" max="2" width="7.28515625" customWidth="1"/>
    <col min="3" max="3" width="23.5703125" bestFit="1" customWidth="1"/>
    <col min="4" max="5" width="8.85546875" style="41" customWidth="1"/>
    <col min="6" max="6" width="16.5703125" style="41" customWidth="1"/>
    <col min="7" max="8" width="9.42578125" style="41" customWidth="1"/>
    <col min="9" max="9" width="15.7109375" style="41" customWidth="1"/>
    <col min="10" max="10" width="12.85546875" style="41" customWidth="1"/>
    <col min="11" max="11" width="14.7109375" style="41" customWidth="1"/>
    <col min="12" max="12" width="10.5703125" style="41" customWidth="1"/>
    <col min="13" max="13" width="9.140625" style="41"/>
  </cols>
  <sheetData>
    <row r="1" spans="1:14" ht="19.5">
      <c r="A1" s="433" t="s">
        <v>149</v>
      </c>
      <c r="B1" s="433"/>
      <c r="C1" s="433"/>
      <c r="D1" s="433"/>
      <c r="E1" s="433"/>
      <c r="F1" s="433"/>
      <c r="G1" s="433"/>
      <c r="H1" s="433"/>
      <c r="I1" s="433"/>
      <c r="J1" s="433"/>
      <c r="K1" s="433"/>
      <c r="L1" s="433"/>
      <c r="M1" s="433"/>
    </row>
    <row r="2" spans="1:14" ht="10.5" customHeight="1"/>
    <row r="3" spans="1:14" ht="15.75" customHeight="1" thickBot="1">
      <c r="A3" s="432" t="s">
        <v>4</v>
      </c>
      <c r="B3" s="432"/>
      <c r="C3" s="432"/>
      <c r="D3" s="432"/>
      <c r="E3" s="432"/>
      <c r="F3" s="432"/>
      <c r="G3" s="432"/>
      <c r="H3" s="432"/>
      <c r="I3" s="432"/>
      <c r="J3" s="432"/>
      <c r="K3" s="432"/>
      <c r="L3" s="432"/>
      <c r="M3" s="432"/>
    </row>
    <row r="4" spans="1:14" s="1" customFormat="1" ht="25.5" customHeight="1">
      <c r="A4" s="335" t="s">
        <v>6</v>
      </c>
      <c r="B4" s="450" t="s">
        <v>7</v>
      </c>
      <c r="C4" s="443" t="s">
        <v>2</v>
      </c>
      <c r="D4" s="445" t="s">
        <v>5</v>
      </c>
      <c r="E4" s="447" t="s">
        <v>75</v>
      </c>
      <c r="F4" s="447" t="s">
        <v>55</v>
      </c>
      <c r="G4" s="440" t="s">
        <v>76</v>
      </c>
      <c r="H4" s="440" t="s">
        <v>77</v>
      </c>
      <c r="I4" s="440" t="s">
        <v>56</v>
      </c>
      <c r="J4" s="331" t="s">
        <v>14</v>
      </c>
      <c r="K4" s="449"/>
      <c r="L4" s="331" t="s">
        <v>78</v>
      </c>
      <c r="M4" s="442"/>
      <c r="N4" s="41"/>
    </row>
    <row r="5" spans="1:14" s="1" customFormat="1" ht="22.5" customHeight="1" thickBot="1">
      <c r="A5" s="337"/>
      <c r="B5" s="451"/>
      <c r="C5" s="444"/>
      <c r="D5" s="446"/>
      <c r="E5" s="448"/>
      <c r="F5" s="448"/>
      <c r="G5" s="441"/>
      <c r="H5" s="441"/>
      <c r="I5" s="441"/>
      <c r="J5" s="245" t="s">
        <v>1</v>
      </c>
      <c r="K5" s="245" t="s">
        <v>0</v>
      </c>
      <c r="L5" s="246" t="s">
        <v>79</v>
      </c>
      <c r="M5" s="247" t="s">
        <v>80</v>
      </c>
      <c r="N5" s="41"/>
    </row>
    <row r="6" spans="1:14" s="2" customFormat="1" ht="30" customHeight="1" thickBot="1">
      <c r="A6" s="434" t="s">
        <v>153</v>
      </c>
      <c r="B6" s="37">
        <v>1</v>
      </c>
      <c r="C6" s="160" t="s">
        <v>108</v>
      </c>
      <c r="D6" s="9">
        <v>11</v>
      </c>
      <c r="E6" s="194">
        <v>42.01</v>
      </c>
      <c r="F6" s="242">
        <f>(42.95+42.31+42.05+42.26+42.28+42.02+42.36+42.2+42.01+42.2+42.11+42.26+42.16+42.44+42.16+42.14+42.29+42.19+42.13+42.58)/20</f>
        <v>42.254999999999995</v>
      </c>
      <c r="G6" s="160">
        <v>21</v>
      </c>
      <c r="H6" s="160">
        <f>G6-0</f>
        <v>21</v>
      </c>
      <c r="I6" s="243">
        <v>1.0381944444444444E-2</v>
      </c>
      <c r="J6" s="259">
        <f>I6</f>
        <v>1.0381944444444444E-2</v>
      </c>
      <c r="K6" s="244">
        <f>J6</f>
        <v>1.0381944444444444E-2</v>
      </c>
      <c r="L6" s="31">
        <f t="shared" ref="L6:L13" si="0">F6-E6</f>
        <v>0.24499999999999744</v>
      </c>
      <c r="M6" s="51"/>
    </row>
    <row r="7" spans="1:14" s="2" customFormat="1" ht="30" customHeight="1" thickBot="1">
      <c r="A7" s="435"/>
      <c r="B7" s="5">
        <v>2</v>
      </c>
      <c r="C7" s="29" t="s">
        <v>107</v>
      </c>
      <c r="D7" s="26">
        <v>7</v>
      </c>
      <c r="E7" s="248">
        <v>41.75</v>
      </c>
      <c r="F7" s="27">
        <f>(42.16+41.97+41.75+41.81+42.06+41.94+42.02+41.86+42.03+42+41.97+41.91+41.92+42.06+42.06+42.01+42.1+42.1+42.27+42.37+42.15+42.19+42.28+41.87+42.2+41.9+42.35+42.24+43.07)/29</f>
        <v>42.0903448275862</v>
      </c>
      <c r="G7" s="3">
        <v>51</v>
      </c>
      <c r="H7" s="3">
        <f>G7-G6</f>
        <v>30</v>
      </c>
      <c r="I7" s="22">
        <v>2.5891203703703704E-2</v>
      </c>
      <c r="J7" s="22">
        <f>I7-I6</f>
        <v>1.5509259259259261E-2</v>
      </c>
      <c r="K7" s="23">
        <f>J7</f>
        <v>1.5509259259259261E-2</v>
      </c>
      <c r="L7" s="31">
        <f t="shared" si="0"/>
        <v>0.34034482758620044</v>
      </c>
      <c r="M7" s="51"/>
    </row>
    <row r="8" spans="1:14" s="2" customFormat="1" ht="30" customHeight="1">
      <c r="A8" s="435"/>
      <c r="B8" s="5">
        <v>3</v>
      </c>
      <c r="C8" s="3" t="s">
        <v>108</v>
      </c>
      <c r="D8" s="200">
        <v>9</v>
      </c>
      <c r="E8" s="206">
        <v>41.7</v>
      </c>
      <c r="F8" s="65">
        <f>(42.37+42.14+42.02+42.08+41.87+41.7+42.05+41.94+41.82+41.8+41.76+41.98+41.78+41.88+41.88+41.84+42.11+42.22+41.98+42.23)/20</f>
        <v>41.972500000000011</v>
      </c>
      <c r="G8" s="3">
        <v>72</v>
      </c>
      <c r="H8" s="3">
        <f t="shared" ref="H8:H12" si="1">G8-G7</f>
        <v>21</v>
      </c>
      <c r="I8" s="22">
        <v>3.6921296296296292E-2</v>
      </c>
      <c r="J8" s="22">
        <f>I8-I7</f>
        <v>1.1030092592592588E-2</v>
      </c>
      <c r="K8" s="23">
        <f>J8+K6</f>
        <v>2.1412037037037032E-2</v>
      </c>
      <c r="L8" s="31">
        <f t="shared" si="0"/>
        <v>0.27250000000000796</v>
      </c>
      <c r="M8" s="51"/>
    </row>
    <row r="9" spans="1:14" s="2" customFormat="1" ht="30" customHeight="1" thickBot="1">
      <c r="A9" s="435"/>
      <c r="B9" s="5">
        <v>4</v>
      </c>
      <c r="C9" s="3" t="s">
        <v>107</v>
      </c>
      <c r="D9" s="200">
        <v>7</v>
      </c>
      <c r="E9" s="193">
        <v>41.98</v>
      </c>
      <c r="F9" s="65">
        <f>(42.21+42.38+42+42.12+42.39+42.57+42.2+42.01+42.06+42.19+42.4+42.34+42.85+42.38+42.5+42.33+42.07+42.08+42.05+42.01+42.18+42+42.17+42.25+42.46+42.25+42.29+42.1+43.3+42.58+42.4+42.23+42.45+42.25+42.2+42.29+42.51+42.22+42.34+42.26+42.17+42.1+42.39+42.28+42.12+42.31+42.1+42.06+42.15+42.26+42.22+42.13+42.27+41.98+42.31+42.3+42.32+42.28+42.49+42.88+42.34+42.32+42.34+42.17+42.49+42.04+41.99+42.13+43.38)/69</f>
        <v>42.292608695652184</v>
      </c>
      <c r="G9" s="3">
        <v>142</v>
      </c>
      <c r="H9" s="3">
        <f t="shared" si="1"/>
        <v>70</v>
      </c>
      <c r="I9" s="22">
        <v>7.2025462962962958E-2</v>
      </c>
      <c r="J9" s="257">
        <f t="shared" ref="J9:J12" si="2">I9-I8</f>
        <v>3.5104166666666665E-2</v>
      </c>
      <c r="K9" s="25">
        <f>J9+K7</f>
        <v>5.0613425925925923E-2</v>
      </c>
      <c r="L9" s="53">
        <f t="shared" si="0"/>
        <v>0.31260869565218741</v>
      </c>
      <c r="M9" s="51"/>
    </row>
    <row r="10" spans="1:14" s="2" customFormat="1" ht="30" customHeight="1" thickBot="1">
      <c r="A10" s="435"/>
      <c r="B10" s="5">
        <v>5</v>
      </c>
      <c r="C10" s="3" t="s">
        <v>108</v>
      </c>
      <c r="D10" s="200">
        <v>2</v>
      </c>
      <c r="E10" s="204">
        <v>41.54</v>
      </c>
      <c r="F10" s="65">
        <f>(42.02+42.27+42.52+42.18+41.86+41.74+41.91+41.54+41.9+41.76+41.74+42.52+41.61+41.79+41.9+41.89+41.87+42.05+41.93+41.79+41.9+41.95+42.04+41.88+41.7+41.81+41.75+42.27+42.67+41.96+41.77+41.71+42.06+41.86+41.91+41.84+41.85+41.95+42.15+41.87+41.97+41.84+41.85+41.95+42.28+41.82+41.67+42.06+41.67+41.88+41.88+41.99+41.8+41.84+41.87+41.96+41.84+41.81+41.95+41.69+42.17+42.09+41.98+41.9+41.8+41.84+41.68+41.77)/68</f>
        <v>41.919705882352943</v>
      </c>
      <c r="G10" s="3">
        <v>211</v>
      </c>
      <c r="H10" s="3">
        <f t="shared" si="1"/>
        <v>69</v>
      </c>
      <c r="I10" s="22">
        <v>0.10623842592592592</v>
      </c>
      <c r="J10" s="22">
        <f t="shared" si="2"/>
        <v>3.4212962962962959E-2</v>
      </c>
      <c r="K10" s="25">
        <f>J10+K8</f>
        <v>5.5624999999999994E-2</v>
      </c>
      <c r="L10" s="31">
        <f t="shared" si="0"/>
        <v>0.379705882352944</v>
      </c>
      <c r="M10" s="51"/>
    </row>
    <row r="11" spans="1:14" s="2" customFormat="1" ht="30" customHeight="1">
      <c r="A11" s="435"/>
      <c r="B11" s="5">
        <v>6</v>
      </c>
      <c r="C11" s="3" t="s">
        <v>107</v>
      </c>
      <c r="D11" s="200">
        <v>12</v>
      </c>
      <c r="E11" s="191">
        <v>42.45</v>
      </c>
      <c r="F11" s="65">
        <f>(43.02+42.82+42.96+42.55+42.76+42.91+42.63+42.52+42.72+42.77+42.54+42.49+42.57+42.88+42.5+43.59+42.86+42.45+43.2)/19</f>
        <v>42.77578947368422</v>
      </c>
      <c r="G11" s="3">
        <v>231</v>
      </c>
      <c r="H11" s="3">
        <f t="shared" si="1"/>
        <v>20</v>
      </c>
      <c r="I11" s="22">
        <v>0.11694444444444445</v>
      </c>
      <c r="J11" s="22">
        <f t="shared" si="2"/>
        <v>1.0706018518518531E-2</v>
      </c>
      <c r="K11" s="25">
        <f>J11+K9</f>
        <v>6.1319444444444454E-2</v>
      </c>
      <c r="L11" s="31">
        <f t="shared" si="0"/>
        <v>0.32578947368421751</v>
      </c>
      <c r="M11" s="51"/>
    </row>
    <row r="12" spans="1:14" s="2" customFormat="1" ht="30" customHeight="1">
      <c r="A12" s="435"/>
      <c r="B12" s="5">
        <v>7</v>
      </c>
      <c r="C12" s="3" t="s">
        <v>107</v>
      </c>
      <c r="D12" s="200">
        <v>7</v>
      </c>
      <c r="E12" s="191">
        <v>41.83</v>
      </c>
      <c r="F12" s="65">
        <f>(42.32+42.31+42.3+41.98+42.27+42.17+42.09+42.02+42+42.23+42.25+42.01+42.1+42.06+42.13+41.95+42.04+42.3+41.87+41.96+42.12+42.96+42.53+42.47+42.17+41.95+42.44+42.69+42.51+42.25+41.98+41.83+42.07+42.2+42.11+42.31+41.99+42.13+42.08+42.02+42.01+42.63+42.21+42.53+42.2+42.07+42.24)/47</f>
        <v>42.192765957446809</v>
      </c>
      <c r="G12" s="3">
        <v>279</v>
      </c>
      <c r="H12" s="3">
        <f t="shared" si="1"/>
        <v>48</v>
      </c>
      <c r="I12" s="22">
        <v>0.14120370370370369</v>
      </c>
      <c r="J12" s="22">
        <f t="shared" si="2"/>
        <v>2.4259259259259244E-2</v>
      </c>
      <c r="K12" s="24">
        <f>J12+K11</f>
        <v>8.5578703703703699E-2</v>
      </c>
      <c r="L12" s="31">
        <f t="shared" si="0"/>
        <v>0.36276595744681117</v>
      </c>
      <c r="M12" s="59">
        <f>AVERAGE(L6,L8,L10,L13)</f>
        <v>0.28041849186483425</v>
      </c>
      <c r="N12" s="2" t="s">
        <v>108</v>
      </c>
    </row>
    <row r="13" spans="1:14" s="2" customFormat="1" ht="30" customHeight="1" thickBot="1">
      <c r="A13" s="435"/>
      <c r="B13" s="61" t="s">
        <v>13</v>
      </c>
      <c r="C13" s="6" t="s">
        <v>108</v>
      </c>
      <c r="D13" s="207">
        <v>11</v>
      </c>
      <c r="E13" s="194">
        <v>42.2</v>
      </c>
      <c r="F13" s="195">
        <f>(42.56+42.47+42.33+42.46+42.59+42.36+42.59+42.29+42.2+42.26+42.68+42.38+42.41+42.35+42.29+42.57+42.26+42.51+42.38+42.47+42.63+42.4+42.61+42.59+42.37+42.31+42.42+42.48+42.42+42.31+42.44+42.44+42.31+42.37+42.45+42.34+42.39+42.64+42.27+42.44+42.47+42.56+42.38+42.27+42.39+42.35+42.49)/47</f>
        <v>42.42446808510639</v>
      </c>
      <c r="G13" s="32">
        <v>328</v>
      </c>
      <c r="H13" s="32">
        <f>G13-G12</f>
        <v>49</v>
      </c>
      <c r="I13" s="33">
        <v>0.16738425925925926</v>
      </c>
      <c r="J13" s="33">
        <f>I13-I12</f>
        <v>2.6180555555555568E-2</v>
      </c>
      <c r="K13" s="55">
        <f>J13+K10</f>
        <v>8.1805555555555562E-2</v>
      </c>
      <c r="L13" s="205">
        <f t="shared" si="0"/>
        <v>0.2244680851063876</v>
      </c>
      <c r="M13" s="60">
        <f>AVERAGE(L7,L9,L11,L12)</f>
        <v>0.33537723859235413</v>
      </c>
      <c r="N13" s="2" t="s">
        <v>74</v>
      </c>
    </row>
    <row r="14" spans="1:14" ht="16.5" thickBot="1">
      <c r="A14" s="436"/>
      <c r="B14" s="437"/>
      <c r="C14" s="438"/>
      <c r="D14" s="439"/>
      <c r="E14" s="62">
        <f>AVERAGE(E6:E13)</f>
        <v>41.932499999999997</v>
      </c>
      <c r="F14" s="63">
        <f>AVERAGE(F6:F13)</f>
        <v>42.240397865228601</v>
      </c>
      <c r="G14" s="12"/>
      <c r="H14" s="12"/>
      <c r="I14" s="12"/>
      <c r="J14" s="254" t="s">
        <v>148</v>
      </c>
      <c r="K14" s="12"/>
      <c r="L14" s="12"/>
      <c r="M14" s="12"/>
    </row>
    <row r="15" spans="1:14">
      <c r="J15" s="260" t="s">
        <v>147</v>
      </c>
    </row>
    <row r="16" spans="1:14">
      <c r="A16" s="261"/>
    </row>
    <row r="17" spans="1:1" ht="15.75">
      <c r="A17" s="30"/>
    </row>
  </sheetData>
  <mergeCells count="15">
    <mergeCell ref="A1:M1"/>
    <mergeCell ref="A3:M3"/>
    <mergeCell ref="H4:H5"/>
    <mergeCell ref="L4:M4"/>
    <mergeCell ref="A6:A14"/>
    <mergeCell ref="B14:D14"/>
    <mergeCell ref="J4:K4"/>
    <mergeCell ref="A4:A5"/>
    <mergeCell ref="B4:B5"/>
    <mergeCell ref="C4:C5"/>
    <mergeCell ref="D4:D5"/>
    <mergeCell ref="E4:E5"/>
    <mergeCell ref="F4:F5"/>
    <mergeCell ref="G4:G5"/>
    <mergeCell ref="I4:I5"/>
  </mergeCells>
  <pageMargins left="0.31496062992125984" right="0.31496062992125984" top="0.55118110236220474" bottom="0.11811023622047245" header="0.31496062992125984" footer="0.31496062992125984"/>
  <pageSetup paperSize="9" scale="93" orientation="portrait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17"/>
  <sheetViews>
    <sheetView zoomScale="90" zoomScaleNormal="90" workbookViewId="0">
      <selection activeCell="L8" sqref="L8"/>
    </sheetView>
  </sheetViews>
  <sheetFormatPr defaultRowHeight="15"/>
  <cols>
    <col min="1" max="1" width="10.5703125" customWidth="1"/>
    <col min="2" max="2" width="7.28515625" customWidth="1"/>
    <col min="3" max="3" width="23.5703125" bestFit="1" customWidth="1"/>
    <col min="4" max="5" width="8.85546875" style="41" customWidth="1"/>
    <col min="6" max="6" width="16.5703125" style="41" customWidth="1"/>
    <col min="7" max="8" width="9.42578125" style="41" customWidth="1"/>
    <col min="9" max="9" width="15.7109375" style="41" customWidth="1"/>
    <col min="10" max="10" width="12.85546875" style="41" customWidth="1"/>
    <col min="11" max="11" width="14.7109375" style="41" customWidth="1"/>
    <col min="12" max="12" width="10.5703125" style="41" customWidth="1"/>
    <col min="13" max="13" width="9.140625" style="41"/>
  </cols>
  <sheetData>
    <row r="1" spans="1:14" ht="19.5">
      <c r="A1" s="433" t="s">
        <v>149</v>
      </c>
      <c r="B1" s="433"/>
      <c r="C1" s="433"/>
      <c r="D1" s="433"/>
      <c r="E1" s="433"/>
      <c r="F1" s="433"/>
      <c r="G1" s="433"/>
      <c r="H1" s="433"/>
      <c r="I1" s="433"/>
      <c r="J1" s="433"/>
      <c r="K1" s="433"/>
      <c r="L1" s="433"/>
      <c r="M1" s="433"/>
    </row>
    <row r="2" spans="1:14" ht="10.5" customHeight="1"/>
    <row r="3" spans="1:14" ht="15.75" customHeight="1" thickBot="1">
      <c r="A3" s="432" t="s">
        <v>4</v>
      </c>
      <c r="B3" s="432"/>
      <c r="C3" s="432"/>
      <c r="D3" s="432"/>
      <c r="E3" s="432"/>
      <c r="F3" s="432"/>
      <c r="G3" s="432"/>
      <c r="H3" s="432"/>
      <c r="I3" s="432"/>
      <c r="J3" s="432"/>
      <c r="K3" s="432"/>
      <c r="L3" s="432"/>
      <c r="M3" s="432"/>
    </row>
    <row r="4" spans="1:14" s="1" customFormat="1" ht="25.5" customHeight="1">
      <c r="A4" s="450" t="s">
        <v>6</v>
      </c>
      <c r="B4" s="443" t="s">
        <v>7</v>
      </c>
      <c r="C4" s="440" t="s">
        <v>2</v>
      </c>
      <c r="D4" s="457" t="s">
        <v>5</v>
      </c>
      <c r="E4" s="447" t="s">
        <v>75</v>
      </c>
      <c r="F4" s="447" t="s">
        <v>55</v>
      </c>
      <c r="G4" s="440" t="s">
        <v>76</v>
      </c>
      <c r="H4" s="440" t="s">
        <v>77</v>
      </c>
      <c r="I4" s="440" t="s">
        <v>56</v>
      </c>
      <c r="J4" s="329" t="s">
        <v>14</v>
      </c>
      <c r="K4" s="329"/>
      <c r="L4" s="329" t="s">
        <v>78</v>
      </c>
      <c r="M4" s="452"/>
    </row>
    <row r="5" spans="1:14" s="1" customFormat="1" ht="22.5" customHeight="1" thickBot="1">
      <c r="A5" s="451"/>
      <c r="B5" s="455"/>
      <c r="C5" s="456"/>
      <c r="D5" s="458"/>
      <c r="E5" s="459"/>
      <c r="F5" s="459"/>
      <c r="G5" s="456"/>
      <c r="H5" s="441"/>
      <c r="I5" s="456"/>
      <c r="J5" s="35" t="s">
        <v>1</v>
      </c>
      <c r="K5" s="35" t="s">
        <v>0</v>
      </c>
      <c r="L5" s="56" t="s">
        <v>79</v>
      </c>
      <c r="M5" s="57" t="s">
        <v>80</v>
      </c>
    </row>
    <row r="6" spans="1:14" s="2" customFormat="1" ht="30" customHeight="1" thickBot="1">
      <c r="A6" s="434" t="s">
        <v>51</v>
      </c>
      <c r="B6" s="37">
        <v>1</v>
      </c>
      <c r="C6" s="46" t="s">
        <v>16</v>
      </c>
      <c r="D6" s="47">
        <v>14</v>
      </c>
      <c r="E6" s="67">
        <v>41.85</v>
      </c>
      <c r="F6" s="66">
        <f>(42.19+42.34+42.25+42.22+42.02+43.2+42.16+42.17+42.12+41.97+42.05+42.23+42.21+41.98+42.15+42.07+42.21+41.85+42.34+42.36)/20</f>
        <v>42.20450000000001</v>
      </c>
      <c r="G6" s="196">
        <v>21</v>
      </c>
      <c r="H6" s="46">
        <f>G6-0</f>
        <v>21</v>
      </c>
      <c r="I6" s="48">
        <v>1.0335648148148148E-2</v>
      </c>
      <c r="J6" s="258">
        <f>I6</f>
        <v>1.0335648148148148E-2</v>
      </c>
      <c r="K6" s="49">
        <f>J6</f>
        <v>1.0335648148148148E-2</v>
      </c>
      <c r="L6" s="58">
        <f>F6-E6</f>
        <v>0.3545000000000087</v>
      </c>
      <c r="M6" s="50"/>
    </row>
    <row r="7" spans="1:14" s="2" customFormat="1" ht="30" customHeight="1" thickBot="1">
      <c r="A7" s="435"/>
      <c r="B7" s="5">
        <v>2</v>
      </c>
      <c r="C7" s="29" t="s">
        <v>22</v>
      </c>
      <c r="D7" s="26">
        <v>2</v>
      </c>
      <c r="E7" s="241">
        <v>41.64</v>
      </c>
      <c r="F7" s="65">
        <f>(42.43+42.35+42.19+41.97+41.89+42.02+41.74+41.82+41.84+41.73+41.83+41.71+42.09+41.7+41.89+42.29+41.67+42.24+41.79+41.77+41.7+43.09+42.79+42.11+41.9+41.86+41.98+41.93+41.75+41.77+41.97+42.25+41.77+41.69+41.8+41.87+41.87+41.77+41.64+42.01+41.68+41.93+42.05+41.83+42.06+42.1+42.28+42.45+44.01)/49</f>
        <v>42.017755102040816</v>
      </c>
      <c r="G7" s="169">
        <v>71</v>
      </c>
      <c r="H7" s="3">
        <f>G7-G6</f>
        <v>50</v>
      </c>
      <c r="I7" s="22">
        <v>3.5474537037037041E-2</v>
      </c>
      <c r="J7" s="22">
        <f>I7-I6</f>
        <v>2.5138888888888891E-2</v>
      </c>
      <c r="K7" s="23">
        <f>J7</f>
        <v>2.5138888888888891E-2</v>
      </c>
      <c r="L7" s="31">
        <f t="shared" ref="L7:L13" si="0">F7-E7</f>
        <v>0.37775510204081542</v>
      </c>
      <c r="M7" s="51"/>
    </row>
    <row r="8" spans="1:14" s="2" customFormat="1" ht="30" customHeight="1">
      <c r="A8" s="435"/>
      <c r="B8" s="5">
        <v>3</v>
      </c>
      <c r="C8" s="3" t="s">
        <v>16</v>
      </c>
      <c r="D8" s="26">
        <v>5</v>
      </c>
      <c r="E8" s="191">
        <v>41.98</v>
      </c>
      <c r="F8" s="65">
        <f>(42.91+43+42.54+42.45+42.5+42.47+42.39+42.39+42.31+42.29+42.29+42.1+42.33+42.32+42.19+42.77+42.36+43.29+42.66+42.36+42.23+42.05+42.32+42.15+42.22+42.62+42.46+42.24+42.37+41.98+42.79+42.23+42.3+42.91+42.33+42.29+42.3+42.24+42.4+42.36+42.36+42.14+42.1+42.18+42.37+42.36+42.2+42.33+42.24+42.35+42.19+42.36+42.43+42.64+43.02+42.56+43.7+44.91+42.6+42.8+42.6+42.72+42.64+42.85+42.63+42.48+43.67)/67</f>
        <v>42.509552238805945</v>
      </c>
      <c r="G8" s="169">
        <v>139</v>
      </c>
      <c r="H8" s="3">
        <f t="shared" ref="H8:H12" si="1">G8-G7</f>
        <v>68</v>
      </c>
      <c r="I8" s="22">
        <v>6.9675925925925933E-2</v>
      </c>
      <c r="J8" s="22">
        <f>I8-I7</f>
        <v>3.4201388888888892E-2</v>
      </c>
      <c r="K8" s="23">
        <f>J8+K6</f>
        <v>4.4537037037037042E-2</v>
      </c>
      <c r="L8" s="52">
        <f t="shared" si="0"/>
        <v>0.52955223880594815</v>
      </c>
      <c r="M8" s="51"/>
    </row>
    <row r="9" spans="1:14" s="2" customFormat="1" ht="30" customHeight="1">
      <c r="A9" s="435"/>
      <c r="B9" s="5">
        <v>4</v>
      </c>
      <c r="C9" s="3" t="s">
        <v>22</v>
      </c>
      <c r="D9" s="26">
        <v>15</v>
      </c>
      <c r="E9" s="191">
        <v>42.21</v>
      </c>
      <c r="F9" s="65">
        <f>(42.96+42.7+42.7+42.45+42.53+42.56+42.44+42.37+42.44+42.31+42.47+42.69+42.4+42.21+42.37+42.5+42.41+42.22+42.72)/19</f>
        <v>42.497368421052641</v>
      </c>
      <c r="G9" s="169">
        <v>159</v>
      </c>
      <c r="H9" s="3">
        <f t="shared" si="1"/>
        <v>20</v>
      </c>
      <c r="I9" s="22">
        <v>8.0324074074074062E-2</v>
      </c>
      <c r="J9" s="22">
        <f t="shared" ref="J9:J12" si="2">I9-I8</f>
        <v>1.0648148148148129E-2</v>
      </c>
      <c r="K9" s="25">
        <f>J9+K7</f>
        <v>3.578703703703702E-2</v>
      </c>
      <c r="L9" s="53">
        <f t="shared" si="0"/>
        <v>0.2873684210526406</v>
      </c>
      <c r="M9" s="51"/>
    </row>
    <row r="10" spans="1:14" s="2" customFormat="1" ht="30" customHeight="1">
      <c r="A10" s="435"/>
      <c r="B10" s="5">
        <v>5</v>
      </c>
      <c r="C10" s="3" t="s">
        <v>22</v>
      </c>
      <c r="D10" s="26">
        <v>14</v>
      </c>
      <c r="E10" s="193">
        <v>41.97</v>
      </c>
      <c r="F10" s="65">
        <f>(42.6+42.22+42.23+42.46+42.06+42.11+42.15+42.22+42.09+42.42+42.31+42.39+42.55+42.38+42.38+42.22+42.46+42.38+42.31+42.26+42.17+42.23+42.54+42.3+42+42.26+42.33+42.33+42.26+42.41+42.17+42.33+42.24+42.28+42.04+42.33+42.29+42.34+42.43+42.11+42.25+42.29+42.34+42.12+42.49+42.5+42.35+42.21+42.27+42.26+42.3+42.46+42.49+42.42+41.97+42.25+42.26+42.87)/58</f>
        <v>42.304999999999993</v>
      </c>
      <c r="G10" s="169">
        <v>218</v>
      </c>
      <c r="H10" s="3">
        <f t="shared" si="1"/>
        <v>59</v>
      </c>
      <c r="I10" s="22">
        <v>0.10998842592592593</v>
      </c>
      <c r="J10" s="22">
        <f t="shared" si="2"/>
        <v>2.9664351851851872E-2</v>
      </c>
      <c r="K10" s="25">
        <f>J10+K9</f>
        <v>6.5451388888888892E-2</v>
      </c>
      <c r="L10" s="31">
        <f t="shared" si="0"/>
        <v>0.33499999999999375</v>
      </c>
      <c r="M10" s="51"/>
    </row>
    <row r="11" spans="1:14" s="2" customFormat="1" ht="30" customHeight="1">
      <c r="A11" s="435"/>
      <c r="B11" s="5">
        <v>6</v>
      </c>
      <c r="C11" s="3" t="s">
        <v>16</v>
      </c>
      <c r="D11" s="26">
        <v>13</v>
      </c>
      <c r="E11" s="192">
        <v>41.96</v>
      </c>
      <c r="F11" s="65">
        <f>(42.75+42.2+42.36+41.11+42.2+42.11+42.33+42.6+42+41.96+42.22+42.15+42.44+42.27+42.15+42.23+42.01+42.34+42.19+42.06+42.23+42.18+42.28+42.03+42.28+42.11+41.96+42.03+41.95+42.3)/30</f>
        <v>42.167666666666669</v>
      </c>
      <c r="G11" s="169">
        <v>249</v>
      </c>
      <c r="H11" s="3">
        <f t="shared" si="1"/>
        <v>31</v>
      </c>
      <c r="I11" s="22">
        <v>0.12586805555555555</v>
      </c>
      <c r="J11" s="22">
        <f t="shared" si="2"/>
        <v>1.5879629629629619E-2</v>
      </c>
      <c r="K11" s="25">
        <f>J11+K8</f>
        <v>6.041666666666666E-2</v>
      </c>
      <c r="L11" s="53">
        <f t="shared" si="0"/>
        <v>0.20766666666666822</v>
      </c>
      <c r="M11" s="51"/>
    </row>
    <row r="12" spans="1:14" s="2" customFormat="1" ht="30" customHeight="1" thickBot="1">
      <c r="A12" s="435"/>
      <c r="B12" s="5">
        <v>7</v>
      </c>
      <c r="C12" s="3" t="s">
        <v>22</v>
      </c>
      <c r="D12" s="26">
        <v>14</v>
      </c>
      <c r="E12" s="194">
        <v>42.04</v>
      </c>
      <c r="F12" s="65">
        <f>(42.59+42.48+42.3+42.04+42.38+42.39+42.3+42.36+42.65+43.14+42.19+42.49+42.26+42.5+42.27+42.3+42.25+42.34+42.47)/19</f>
        <v>42.405263157894737</v>
      </c>
      <c r="G12" s="169">
        <v>269</v>
      </c>
      <c r="H12" s="3">
        <f t="shared" si="1"/>
        <v>20</v>
      </c>
      <c r="I12" s="22">
        <v>0.13645833333333332</v>
      </c>
      <c r="J12" s="22">
        <f t="shared" si="2"/>
        <v>1.0590277777777768E-2</v>
      </c>
      <c r="K12" s="24">
        <f>J12+K10</f>
        <v>7.604166666666666E-2</v>
      </c>
      <c r="L12" s="31">
        <f t="shared" si="0"/>
        <v>0.36526315789473784</v>
      </c>
      <c r="M12" s="59">
        <f>AVERAGE(L7,L9,L10,L12)</f>
        <v>0.3413466702470469</v>
      </c>
      <c r="N12" s="2" t="s">
        <v>60</v>
      </c>
    </row>
    <row r="13" spans="1:14" s="2" customFormat="1" ht="30" customHeight="1" thickBot="1">
      <c r="A13" s="435"/>
      <c r="B13" s="61" t="s">
        <v>13</v>
      </c>
      <c r="C13" s="6" t="s">
        <v>16</v>
      </c>
      <c r="D13" s="249">
        <v>1</v>
      </c>
      <c r="E13" s="204">
        <v>41.5</v>
      </c>
      <c r="F13" s="210">
        <f>(42.66+43.65+42.03+41.77+42.33+42.04+42.12+41.86+42.06+41.91+41.83+41.86+42.07+41.92+41.88+41.94+41.68+41.94+41.82+41.83+42.28+41.82+41.97+41.55+41.89+41.5+41.69+42.02+41.73+41.77+41.75+42.02+41.78+41.72+41.8+42.02+41.73+41.85+41.71+42+42.05+41.82+41.72+41.95+41.84+41.73+41.71+41.9+41.95+41.9+42.22+42.82+42.62+42.06+41.91+42.46+41.93)/57</f>
        <v>41.9717543859649</v>
      </c>
      <c r="G13" s="197">
        <v>328</v>
      </c>
      <c r="H13" s="32">
        <f>G13-G12</f>
        <v>59</v>
      </c>
      <c r="I13" s="33">
        <v>0.16739583333333333</v>
      </c>
      <c r="J13" s="33">
        <f>I13-I12</f>
        <v>3.0937500000000007E-2</v>
      </c>
      <c r="K13" s="55">
        <f>J13+K11</f>
        <v>9.1354166666666667E-2</v>
      </c>
      <c r="L13" s="54">
        <f t="shared" si="0"/>
        <v>0.47175438596489983</v>
      </c>
      <c r="M13" s="60">
        <f>AVERAGE(L6,L8,L11,L13)</f>
        <v>0.39086832285938122</v>
      </c>
      <c r="N13" s="2" t="s">
        <v>57</v>
      </c>
    </row>
    <row r="14" spans="1:14" ht="16.5" thickBot="1">
      <c r="A14" s="436"/>
      <c r="B14" s="453"/>
      <c r="C14" s="454"/>
      <c r="D14" s="454"/>
      <c r="E14" s="250">
        <f>AVERAGE(E6:E13)</f>
        <v>41.893750000000004</v>
      </c>
      <c r="F14" s="63">
        <f>AVERAGE(F6:F13)</f>
        <v>42.259857496553217</v>
      </c>
      <c r="G14" s="12"/>
      <c r="H14" s="12"/>
      <c r="I14" s="12"/>
      <c r="J14" s="254" t="s">
        <v>148</v>
      </c>
      <c r="K14" s="12"/>
      <c r="L14" s="12"/>
      <c r="M14" s="12"/>
    </row>
    <row r="16" spans="1:14" ht="15.75">
      <c r="A16" s="261"/>
      <c r="B16" s="262"/>
      <c r="C16" s="72"/>
      <c r="D16" s="261"/>
      <c r="E16" s="261"/>
    </row>
    <row r="17" spans="1:1" ht="15.75">
      <c r="A17" s="30"/>
    </row>
  </sheetData>
  <mergeCells count="15">
    <mergeCell ref="L4:M4"/>
    <mergeCell ref="A1:M1"/>
    <mergeCell ref="A3:M3"/>
    <mergeCell ref="A6:A14"/>
    <mergeCell ref="B14:D14"/>
    <mergeCell ref="J4:K4"/>
    <mergeCell ref="A4:A5"/>
    <mergeCell ref="B4:B5"/>
    <mergeCell ref="C4:C5"/>
    <mergeCell ref="D4:D5"/>
    <mergeCell ref="E4:E5"/>
    <mergeCell ref="F4:F5"/>
    <mergeCell ref="G4:G5"/>
    <mergeCell ref="I4:I5"/>
    <mergeCell ref="H4:H5"/>
  </mergeCells>
  <pageMargins left="0.31496062992125984" right="0.31496062992125984" top="0.55118110236220474" bottom="0.11811023622047245" header="0.31496062992125984" footer="0.31496062992125984"/>
  <pageSetup paperSize="9" scale="93" orientation="portrait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17"/>
  <sheetViews>
    <sheetView topLeftCell="B1" zoomScale="90" zoomScaleNormal="90" workbookViewId="0">
      <selection activeCell="D24" sqref="D24"/>
    </sheetView>
  </sheetViews>
  <sheetFormatPr defaultRowHeight="15"/>
  <cols>
    <col min="1" max="1" width="10.5703125" customWidth="1"/>
    <col min="2" max="2" width="7.28515625" customWidth="1"/>
    <col min="3" max="3" width="23.5703125" bestFit="1" customWidth="1"/>
    <col min="4" max="5" width="8.85546875" style="41" customWidth="1"/>
    <col min="6" max="6" width="16.5703125" style="41" customWidth="1"/>
    <col min="7" max="8" width="9.42578125" style="41" customWidth="1"/>
    <col min="9" max="9" width="15.7109375" style="41" customWidth="1"/>
    <col min="10" max="10" width="12.85546875" style="41" customWidth="1"/>
    <col min="11" max="11" width="14.7109375" style="41" customWidth="1"/>
    <col min="12" max="12" width="10.5703125" style="41" customWidth="1"/>
    <col min="13" max="13" width="9.140625" style="41"/>
  </cols>
  <sheetData>
    <row r="1" spans="1:20" ht="19.5">
      <c r="A1" s="433" t="s">
        <v>149</v>
      </c>
      <c r="B1" s="433"/>
      <c r="C1" s="433"/>
      <c r="D1" s="433"/>
      <c r="E1" s="433"/>
      <c r="F1" s="433"/>
      <c r="G1" s="433"/>
      <c r="H1" s="433"/>
      <c r="I1" s="433"/>
      <c r="J1" s="433"/>
      <c r="K1" s="433"/>
      <c r="L1" s="433"/>
      <c r="M1" s="433"/>
    </row>
    <row r="2" spans="1:20" ht="10.5" customHeight="1"/>
    <row r="3" spans="1:20" ht="15.75" customHeight="1" thickBot="1">
      <c r="A3" s="432" t="s">
        <v>4</v>
      </c>
      <c r="B3" s="432"/>
      <c r="C3" s="432"/>
      <c r="D3" s="432"/>
      <c r="E3" s="432"/>
      <c r="F3" s="432"/>
      <c r="G3" s="432"/>
      <c r="H3" s="432"/>
      <c r="I3" s="432"/>
      <c r="J3" s="432"/>
      <c r="K3" s="432"/>
      <c r="L3" s="432"/>
      <c r="M3" s="432"/>
    </row>
    <row r="4" spans="1:20" s="1" customFormat="1" ht="25.5" customHeight="1">
      <c r="A4" s="335" t="s">
        <v>6</v>
      </c>
      <c r="B4" s="443" t="s">
        <v>7</v>
      </c>
      <c r="C4" s="440" t="s">
        <v>2</v>
      </c>
      <c r="D4" s="445" t="s">
        <v>5</v>
      </c>
      <c r="E4" s="447" t="s">
        <v>75</v>
      </c>
      <c r="F4" s="447" t="s">
        <v>55</v>
      </c>
      <c r="G4" s="440" t="s">
        <v>76</v>
      </c>
      <c r="H4" s="440" t="s">
        <v>77</v>
      </c>
      <c r="I4" s="440" t="s">
        <v>56</v>
      </c>
      <c r="J4" s="331" t="s">
        <v>14</v>
      </c>
      <c r="K4" s="449"/>
      <c r="L4" s="331" t="s">
        <v>78</v>
      </c>
      <c r="M4" s="442"/>
      <c r="N4" s="41"/>
    </row>
    <row r="5" spans="1:20" s="1" customFormat="1" ht="22.5" customHeight="1" thickBot="1">
      <c r="A5" s="337"/>
      <c r="B5" s="444"/>
      <c r="C5" s="441"/>
      <c r="D5" s="446"/>
      <c r="E5" s="448"/>
      <c r="F5" s="448"/>
      <c r="G5" s="441"/>
      <c r="H5" s="441"/>
      <c r="I5" s="441"/>
      <c r="J5" s="35" t="s">
        <v>1</v>
      </c>
      <c r="K5" s="35" t="s">
        <v>0</v>
      </c>
      <c r="L5" s="56" t="s">
        <v>79</v>
      </c>
      <c r="M5" s="57" t="s">
        <v>80</v>
      </c>
      <c r="N5" s="41"/>
    </row>
    <row r="6" spans="1:20" s="2" customFormat="1" ht="30" customHeight="1" thickBot="1">
      <c r="A6" s="434" t="s">
        <v>61</v>
      </c>
      <c r="B6" s="37">
        <v>1</v>
      </c>
      <c r="C6" s="46" t="s">
        <v>25</v>
      </c>
      <c r="D6" s="199">
        <v>15</v>
      </c>
      <c r="E6" s="67">
        <v>42.3</v>
      </c>
      <c r="F6" s="66">
        <f>(43.02+43.22+45.1+42.44+42.5+42.89+43.21+42.3+42.63+43.75+43.03+42.39+42.55+42.99+42.61+42.83+43.17+42.4+42.43+42.78)/20</f>
        <v>42.911999999999992</v>
      </c>
      <c r="G6" s="46">
        <v>21</v>
      </c>
      <c r="H6" s="46">
        <f>G6-0</f>
        <v>21</v>
      </c>
      <c r="I6" s="48">
        <v>1.0567129629629629E-2</v>
      </c>
      <c r="J6" s="48">
        <f>I6</f>
        <v>1.0567129629629629E-2</v>
      </c>
      <c r="K6" s="49">
        <f>J6</f>
        <v>1.0567129629629629E-2</v>
      </c>
      <c r="L6" s="58">
        <f>F6-E6</f>
        <v>0.61199999999999477</v>
      </c>
      <c r="M6" s="50"/>
    </row>
    <row r="7" spans="1:20" s="2" customFormat="1" ht="30" customHeight="1" thickBot="1">
      <c r="A7" s="435"/>
      <c r="B7" s="5">
        <v>2</v>
      </c>
      <c r="C7" s="29" t="s">
        <v>26</v>
      </c>
      <c r="D7" s="200">
        <v>1</v>
      </c>
      <c r="E7" s="204">
        <v>41.74</v>
      </c>
      <c r="F7" s="65">
        <f>(42.56+42.06+41.84+41.95+41.87+42.1+42.04+42.07+41.91+41.95+42.17+42.17+42.05+41.81+42.03+42.15+42.29+42.02+42.24+42.01+42.08+42+41.87+41.89+41.88+42.1+54.53+52.08+41.88+41.82+41.74+41.9+42+41.92+42.03+42.06+42.02+42.24+42.03+41.77+41.97+41.85+41.96+41.87+41.94+41.85+41.99+42.11+42.19+42.11+42.28)/51</f>
        <v>42.455882352941174</v>
      </c>
      <c r="G7" s="3">
        <v>73</v>
      </c>
      <c r="H7" s="3">
        <f>G7-G6</f>
        <v>52</v>
      </c>
      <c r="I7" s="22">
        <v>3.6886574074074079E-2</v>
      </c>
      <c r="J7" s="22">
        <f>I7-I6</f>
        <v>2.6319444444444451E-2</v>
      </c>
      <c r="K7" s="23">
        <f>J7</f>
        <v>2.6319444444444451E-2</v>
      </c>
      <c r="L7" s="31">
        <f t="shared" ref="L7:L13" si="0">F7-E7</f>
        <v>0.71588235294117197</v>
      </c>
      <c r="M7" s="51"/>
    </row>
    <row r="8" spans="1:20" s="2" customFormat="1" ht="30" customHeight="1" thickBot="1">
      <c r="A8" s="435"/>
      <c r="B8" s="5">
        <v>3</v>
      </c>
      <c r="C8" s="3" t="s">
        <v>25</v>
      </c>
      <c r="D8" s="200">
        <v>3</v>
      </c>
      <c r="E8" s="198">
        <v>41.75</v>
      </c>
      <c r="F8" s="65">
        <f>(42.18+42.78+41.98+42.12+41.75+41.86+41.83+42.35+41.89+42.04+41.83+42.17+42.28+42.03+41.98+42.1+41.76+42.44+42.06+42.16+41.81+42.3+42.08+41.99+42.04+42.14+42.07+42.24+41.85+42.36+41.86+41.96+41.87+41.92+41.9+41.86+41.92+41.75+42.42)/39</f>
        <v>42.04948717948718</v>
      </c>
      <c r="G8" s="3">
        <v>113</v>
      </c>
      <c r="H8" s="3">
        <f t="shared" ref="H8:H12" si="1">G8-G7</f>
        <v>40</v>
      </c>
      <c r="I8" s="22">
        <v>5.7152777777777775E-2</v>
      </c>
      <c r="J8" s="22">
        <f>I8-I7</f>
        <v>2.0266203703703696E-2</v>
      </c>
      <c r="K8" s="23">
        <f t="shared" ref="K8:K13" si="2">J8+K6</f>
        <v>3.0833333333333324E-2</v>
      </c>
      <c r="L8" s="31">
        <f t="shared" si="0"/>
        <v>0.29948717948717984</v>
      </c>
      <c r="M8" s="51"/>
    </row>
    <row r="9" spans="1:20" s="2" customFormat="1" ht="30" customHeight="1">
      <c r="A9" s="435"/>
      <c r="B9" s="5">
        <v>4</v>
      </c>
      <c r="C9" s="3" t="s">
        <v>26</v>
      </c>
      <c r="D9" s="200">
        <v>21</v>
      </c>
      <c r="E9" s="194">
        <v>41.91</v>
      </c>
      <c r="F9" s="65">
        <f>(42.31+42.74+42.14+42.07+42.57+42.41+42.96+42.85+42.1+41.91+42.11+42.43+42.34+42.06+42.47+42.46+42.2+42.24+42.2+42.04+42.28+42.05+42.81+42.56+42.35+42.1+42.28+42.12+42.32+42.66+42.14+42.29)/32</f>
        <v>42.330312499999991</v>
      </c>
      <c r="G9" s="3">
        <v>146</v>
      </c>
      <c r="H9" s="3">
        <f t="shared" si="1"/>
        <v>33</v>
      </c>
      <c r="I9" s="22">
        <v>7.4097222222222217E-2</v>
      </c>
      <c r="J9" s="22">
        <f t="shared" ref="J9:J12" si="3">I9-I8</f>
        <v>1.6944444444444443E-2</v>
      </c>
      <c r="K9" s="25">
        <f t="shared" si="2"/>
        <v>4.3263888888888893E-2</v>
      </c>
      <c r="L9" s="31">
        <f t="shared" si="0"/>
        <v>0.42031249999999432</v>
      </c>
      <c r="M9" s="51"/>
    </row>
    <row r="10" spans="1:20" s="2" customFormat="1" ht="30" customHeight="1">
      <c r="A10" s="435"/>
      <c r="B10" s="5">
        <v>5</v>
      </c>
      <c r="C10" s="3" t="s">
        <v>25</v>
      </c>
      <c r="D10" s="200">
        <v>9</v>
      </c>
      <c r="E10" s="239">
        <v>41.96</v>
      </c>
      <c r="F10" s="65">
        <f>(42.39+42.36+42.25+42.06+42.26+42.18+42.03+42.02+42.18+42.18+41.96+42.37+42.35+42.67+42.43+42.09+42.02+42.28+42.35+42.23+42.25+42.14+42.29+42.31+42.31+42.22+42.26+42.33+42.25+42.22+42.2+42.26+42.25+42.14+42.05+42.38+42.16+42.24+42.13+42.19+42.13+42.22+42.24+42.4+42.35+42.43+42.09+42.39+42.39+42.31+42.35+42.02+42.5+42.21+42.09+42.44+42.41+42.07+42.41+42.21+42.51+42.17+42.37+42.22+42.57+42.33+42.45+42.05)/68</f>
        <v>42.258382352941183</v>
      </c>
      <c r="G10" s="3">
        <v>215</v>
      </c>
      <c r="H10" s="3">
        <f t="shared" si="1"/>
        <v>69</v>
      </c>
      <c r="I10" s="22">
        <v>0.10859953703703702</v>
      </c>
      <c r="J10" s="22">
        <f t="shared" si="3"/>
        <v>3.4502314814814805E-2</v>
      </c>
      <c r="K10" s="25">
        <f t="shared" si="2"/>
        <v>6.5335648148148129E-2</v>
      </c>
      <c r="L10" s="31">
        <f t="shared" si="0"/>
        <v>0.29838235294118221</v>
      </c>
      <c r="M10" s="64"/>
    </row>
    <row r="11" spans="1:20" s="2" customFormat="1" ht="30" customHeight="1">
      <c r="A11" s="435"/>
      <c r="B11" s="5">
        <v>6</v>
      </c>
      <c r="C11" s="3" t="s">
        <v>26</v>
      </c>
      <c r="D11" s="200">
        <v>11</v>
      </c>
      <c r="E11" s="192">
        <v>42.39</v>
      </c>
      <c r="F11" s="65">
        <f>(42.39+42.51+46.44+42.54+42.7+42.74+42.88+42.71+42.53+42.49+42.68+42.95+42.81+42.57+42.69+42.88+42.59+42.52+43.51+42.88+42.91+42.79+42.57+42.9+42.67+42.64+42.6+42.67+42.67+42.56+42.57+42.82)/32</f>
        <v>42.824374999999996</v>
      </c>
      <c r="G11" s="3">
        <v>248</v>
      </c>
      <c r="H11" s="3">
        <f t="shared" si="1"/>
        <v>33</v>
      </c>
      <c r="I11" s="22">
        <v>0.12570601851851851</v>
      </c>
      <c r="J11" s="22">
        <f t="shared" si="3"/>
        <v>1.7106481481481486E-2</v>
      </c>
      <c r="K11" s="25">
        <f t="shared" si="2"/>
        <v>6.037037037037038E-2</v>
      </c>
      <c r="L11" s="31">
        <f t="shared" si="0"/>
        <v>0.43437499999999574</v>
      </c>
      <c r="M11" s="59"/>
      <c r="O11" s="28"/>
      <c r="P11" s="28"/>
      <c r="Q11" s="28"/>
      <c r="R11" s="28"/>
      <c r="S11" s="28"/>
      <c r="T11" s="28"/>
    </row>
    <row r="12" spans="1:20" s="2" customFormat="1" ht="30" customHeight="1">
      <c r="A12" s="435"/>
      <c r="B12" s="5">
        <v>7</v>
      </c>
      <c r="C12" s="3" t="s">
        <v>25</v>
      </c>
      <c r="D12" s="200">
        <v>5</v>
      </c>
      <c r="E12" s="192">
        <v>42.32</v>
      </c>
      <c r="F12" s="65">
        <f>(42.99+42.81+42.51+42.45+42.33+42.46+42.5+42.61+42.47+42.73+42.54+42.41+42.76+42.44+42.56+42.54+42.46+42.32+42.41+42.59+42.38+42.53+42.59+42.72+42.48+42.98+42.83+42.54+43.08+42.74+43.63+42.9+42.75+42.51+43.05+42.65+42.87+42.86+42.62+42.62+42.89+42.98)/42</f>
        <v>42.668809523809514</v>
      </c>
      <c r="G12" s="3">
        <v>292</v>
      </c>
      <c r="H12" s="3">
        <f t="shared" si="1"/>
        <v>44</v>
      </c>
      <c r="I12" s="22">
        <v>0.14960648148148148</v>
      </c>
      <c r="J12" s="22">
        <f t="shared" si="3"/>
        <v>2.3900462962962971E-2</v>
      </c>
      <c r="K12" s="24">
        <f t="shared" si="2"/>
        <v>8.9236111111111099E-2</v>
      </c>
      <c r="L12" s="31">
        <f t="shared" si="0"/>
        <v>0.34880952380951413</v>
      </c>
      <c r="M12" s="59">
        <f>AVERAGE(L6,L8,L10,L12)</f>
        <v>0.38966976405946774</v>
      </c>
      <c r="N12" s="2" t="s">
        <v>62</v>
      </c>
    </row>
    <row r="13" spans="1:20" s="2" customFormat="1" ht="30" customHeight="1" thickBot="1">
      <c r="A13" s="435"/>
      <c r="B13" s="38" t="s">
        <v>13</v>
      </c>
      <c r="C13" s="32" t="s">
        <v>26</v>
      </c>
      <c r="D13" s="197">
        <v>3</v>
      </c>
      <c r="E13" s="201">
        <v>41.87</v>
      </c>
      <c r="F13" s="202">
        <f>(42.47+42.31+41.97+42.07+41.9+41.98+42.03+41.93+41.99+41.94+42.16+41.93+42.03+41.97+41.87+41.92+42.13+42.14+42.05+42.14+42.08+41.95+42.41+42.51+42.37+42.54+42.1+42.78+44.09+42.47+42.14+43.07+42.72)/33</f>
        <v>42.247272727272723</v>
      </c>
      <c r="G13" s="32">
        <v>326</v>
      </c>
      <c r="H13" s="32">
        <f>G13-G12</f>
        <v>34</v>
      </c>
      <c r="I13" s="33">
        <v>0.16693287037037038</v>
      </c>
      <c r="J13" s="33">
        <f>I13-I12</f>
        <v>1.7326388888888905E-2</v>
      </c>
      <c r="K13" s="55">
        <f t="shared" si="2"/>
        <v>7.7696759259259285E-2</v>
      </c>
      <c r="L13" s="54">
        <f t="shared" si="0"/>
        <v>0.37727272727272521</v>
      </c>
      <c r="M13" s="60">
        <f>AVERAGE(L7,L9,L11,L13)</f>
        <v>0.48696064505347181</v>
      </c>
      <c r="N13" s="2" t="s">
        <v>63</v>
      </c>
    </row>
    <row r="14" spans="1:20" ht="16.5" thickBot="1">
      <c r="A14" s="436"/>
      <c r="B14" s="437"/>
      <c r="C14" s="438"/>
      <c r="D14" s="439"/>
      <c r="E14" s="62">
        <f>AVERAGE(E6:E13)</f>
        <v>42.03</v>
      </c>
      <c r="F14" s="63">
        <f>AVERAGE(F6:F13)</f>
        <v>42.468315204556475</v>
      </c>
      <c r="G14" s="12"/>
      <c r="H14" s="12"/>
      <c r="I14" s="12"/>
      <c r="J14" s="12"/>
      <c r="K14" s="12"/>
      <c r="L14" s="12"/>
      <c r="M14" s="12"/>
    </row>
    <row r="16" spans="1:20">
      <c r="A16" s="261"/>
    </row>
    <row r="17" spans="1:1" ht="15.75">
      <c r="A17" s="30"/>
    </row>
  </sheetData>
  <mergeCells count="15">
    <mergeCell ref="A1:M1"/>
    <mergeCell ref="A3:M3"/>
    <mergeCell ref="H4:H5"/>
    <mergeCell ref="L4:M4"/>
    <mergeCell ref="A6:A14"/>
    <mergeCell ref="B14:D14"/>
    <mergeCell ref="J4:K4"/>
    <mergeCell ref="A4:A5"/>
    <mergeCell ref="B4:B5"/>
    <mergeCell ref="C4:C5"/>
    <mergeCell ref="D4:D5"/>
    <mergeCell ref="E4:E5"/>
    <mergeCell ref="F4:F5"/>
    <mergeCell ref="G4:G5"/>
    <mergeCell ref="I4:I5"/>
  </mergeCells>
  <pageMargins left="0.31496062992125984" right="0.31496062992125984" top="0.55118110236220474" bottom="0.11811023622047245" header="0.31496062992125984" footer="0.31496062992125984"/>
  <pageSetup paperSize="9" scale="93" orientation="portrait" verticalDpi="300" r:id="rId1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17"/>
  <sheetViews>
    <sheetView topLeftCell="B1" zoomScale="90" zoomScaleNormal="90" workbookViewId="0">
      <selection activeCell="H6" sqref="H6:H13"/>
    </sheetView>
  </sheetViews>
  <sheetFormatPr defaultRowHeight="15"/>
  <cols>
    <col min="1" max="1" width="10.5703125" customWidth="1"/>
    <col min="2" max="2" width="7.28515625" customWidth="1"/>
    <col min="3" max="3" width="23.5703125" bestFit="1" customWidth="1"/>
    <col min="4" max="5" width="8.85546875" style="41" customWidth="1"/>
    <col min="6" max="6" width="16.5703125" style="41" customWidth="1"/>
    <col min="7" max="8" width="9.42578125" style="41" customWidth="1"/>
    <col min="9" max="9" width="15.7109375" style="41" customWidth="1"/>
    <col min="10" max="10" width="12.85546875" style="41" customWidth="1"/>
    <col min="11" max="11" width="14.7109375" style="41" customWidth="1"/>
    <col min="12" max="12" width="10.5703125" style="41" customWidth="1"/>
    <col min="13" max="13" width="9.140625" style="41"/>
  </cols>
  <sheetData>
    <row r="1" spans="1:14" ht="19.5">
      <c r="A1" s="433" t="s">
        <v>149</v>
      </c>
      <c r="B1" s="433"/>
      <c r="C1" s="433"/>
      <c r="D1" s="433"/>
      <c r="E1" s="433"/>
      <c r="F1" s="433"/>
      <c r="G1" s="433"/>
      <c r="H1" s="433"/>
      <c r="I1" s="433"/>
      <c r="J1" s="433"/>
      <c r="K1" s="433"/>
      <c r="L1" s="433"/>
      <c r="M1" s="433"/>
    </row>
    <row r="2" spans="1:14" ht="10.5" customHeight="1"/>
    <row r="3" spans="1:14" ht="15.75" customHeight="1" thickBot="1">
      <c r="A3" s="432" t="s">
        <v>4</v>
      </c>
      <c r="B3" s="432"/>
      <c r="C3" s="432"/>
      <c r="D3" s="432"/>
      <c r="E3" s="432"/>
      <c r="F3" s="432"/>
      <c r="G3" s="432"/>
      <c r="H3" s="432"/>
      <c r="I3" s="432"/>
      <c r="J3" s="432"/>
      <c r="K3" s="432"/>
      <c r="L3" s="432"/>
      <c r="M3" s="432"/>
    </row>
    <row r="4" spans="1:14" s="1" customFormat="1" ht="25.5" customHeight="1">
      <c r="A4" s="335" t="s">
        <v>6</v>
      </c>
      <c r="B4" s="443" t="s">
        <v>7</v>
      </c>
      <c r="C4" s="440" t="s">
        <v>2</v>
      </c>
      <c r="D4" s="445" t="s">
        <v>5</v>
      </c>
      <c r="E4" s="447" t="s">
        <v>75</v>
      </c>
      <c r="F4" s="447" t="s">
        <v>55</v>
      </c>
      <c r="G4" s="440" t="s">
        <v>76</v>
      </c>
      <c r="H4" s="440" t="s">
        <v>77</v>
      </c>
      <c r="I4" s="440" t="s">
        <v>56</v>
      </c>
      <c r="J4" s="331" t="s">
        <v>14</v>
      </c>
      <c r="K4" s="449"/>
      <c r="L4" s="331" t="s">
        <v>78</v>
      </c>
      <c r="M4" s="442"/>
      <c r="N4" s="41"/>
    </row>
    <row r="5" spans="1:14" s="1" customFormat="1" ht="22.5" customHeight="1" thickBot="1">
      <c r="A5" s="337"/>
      <c r="B5" s="444"/>
      <c r="C5" s="441"/>
      <c r="D5" s="446"/>
      <c r="E5" s="448"/>
      <c r="F5" s="448"/>
      <c r="G5" s="441"/>
      <c r="H5" s="441"/>
      <c r="I5" s="441"/>
      <c r="J5" s="35" t="s">
        <v>1</v>
      </c>
      <c r="K5" s="35" t="s">
        <v>0</v>
      </c>
      <c r="L5" s="56" t="s">
        <v>79</v>
      </c>
      <c r="M5" s="57" t="s">
        <v>80</v>
      </c>
      <c r="N5" s="41"/>
    </row>
    <row r="6" spans="1:14" s="2" customFormat="1" ht="30" customHeight="1">
      <c r="A6" s="434" t="s">
        <v>52</v>
      </c>
      <c r="B6" s="37">
        <v>1</v>
      </c>
      <c r="C6" s="46" t="s">
        <v>20</v>
      </c>
      <c r="D6" s="199">
        <v>13</v>
      </c>
      <c r="E6" s="67">
        <v>42.34</v>
      </c>
      <c r="F6" s="66">
        <f>(43.74+42.86+42.85+42.57+43.16+43.41+42.78+42.76+42.65+43.83+44.35+43.1+42.84+42.67+43.77+43.12+43.56+43.82+42.41+44.99+42.8+42.55+43.06+43.53+42.34+42.93)/26</f>
        <v>43.171153846153842</v>
      </c>
      <c r="G6" s="196">
        <v>27</v>
      </c>
      <c r="H6" s="46">
        <f>G6-0</f>
        <v>27</v>
      </c>
      <c r="I6" s="48">
        <v>1.3622685185185184E-2</v>
      </c>
      <c r="J6" s="48">
        <f>I6</f>
        <v>1.3622685185185184E-2</v>
      </c>
      <c r="K6" s="49">
        <f>J6</f>
        <v>1.3622685185185184E-2</v>
      </c>
      <c r="L6" s="58">
        <f>F6-E6</f>
        <v>0.83115384615383903</v>
      </c>
      <c r="M6" s="50"/>
    </row>
    <row r="7" spans="1:14" s="2" customFormat="1" ht="30" customHeight="1">
      <c r="A7" s="435"/>
      <c r="B7" s="5">
        <v>2</v>
      </c>
      <c r="C7" s="29" t="s">
        <v>21</v>
      </c>
      <c r="D7" s="200">
        <v>15</v>
      </c>
      <c r="E7" s="169">
        <v>42.45</v>
      </c>
      <c r="F7" s="65">
        <f>(42.91+49.24+43.12+42.96+42.88+42.75+42.46+42.73+43.09+42.81+42.74+42.56+42.75+43.03+42.87+42.79+43.74+43.11+42.88+43.98+43.58+42.88+43.83+43.74+42.45+42.69+42.67+42.7+42.69+42.57+42.49+42.7+43.36+43.05+42.77+42.84+42.82+43.67+43.14+43.05+42.72+42.58+43.11+43.02+43.1+43.03+42.84+42.63+42.69+42.82+42.82+42.78+44.01)/53</f>
        <v>43.080000000000013</v>
      </c>
      <c r="G7" s="169">
        <v>81</v>
      </c>
      <c r="H7" s="3">
        <f>G7-G6</f>
        <v>54</v>
      </c>
      <c r="I7" s="22">
        <v>4.130787037037037E-2</v>
      </c>
      <c r="J7" s="22">
        <f>I7-I6</f>
        <v>2.7685185185185188E-2</v>
      </c>
      <c r="K7" s="23">
        <f>J7</f>
        <v>2.7685185185185188E-2</v>
      </c>
      <c r="L7" s="31">
        <f t="shared" ref="L7:L13" si="0">F7-E7</f>
        <v>0.63000000000000966</v>
      </c>
      <c r="M7" s="51"/>
    </row>
    <row r="8" spans="1:14" s="2" customFormat="1" ht="30" customHeight="1">
      <c r="A8" s="435"/>
      <c r="B8" s="5">
        <v>3</v>
      </c>
      <c r="C8" s="3" t="s">
        <v>20</v>
      </c>
      <c r="D8" s="200">
        <v>14</v>
      </c>
      <c r="E8" s="206">
        <v>42.19</v>
      </c>
      <c r="F8" s="65">
        <f>(42.45+43.88+42.49+42.8+42.5+42.35+42.75+42.39+42.63+42.74+42.42+42.19+42.31+42.39+42.25+42.42+42.44+42.33+42.51+42.67+42.38+42.43+42.98+42.61+43.19+42.48+42.38+42.81+42.51+42.8+43.14+42.7+42.44+42.37+43.2+42.69+42.68+42.43+42.54+42.57+42.52+42.19+42.39+43.35+42.36+42.27+42.32+42.56+42.52+42.46+42.34+42.34+42.42+42.44+42.44+42.53+42.36+42.36+42.52+42.45+42.56+42.41+42.22+42.26+42.71)/65</f>
        <v>42.546769230769243</v>
      </c>
      <c r="G8" s="169">
        <v>147</v>
      </c>
      <c r="H8" s="3">
        <f t="shared" ref="H8:H12" si="1">G8-G7</f>
        <v>66</v>
      </c>
      <c r="I8" s="22">
        <v>7.4606481481481482E-2</v>
      </c>
      <c r="J8" s="22">
        <f>I8-I7</f>
        <v>3.3298611111111112E-2</v>
      </c>
      <c r="K8" s="23">
        <f>J8+J6</f>
        <v>4.6921296296296294E-2</v>
      </c>
      <c r="L8" s="53">
        <f t="shared" si="0"/>
        <v>0.35676923076924538</v>
      </c>
      <c r="M8" s="51"/>
    </row>
    <row r="9" spans="1:14" s="2" customFormat="1" ht="30" customHeight="1" thickBot="1">
      <c r="A9" s="435"/>
      <c r="B9" s="5">
        <v>4</v>
      </c>
      <c r="C9" s="3" t="s">
        <v>21</v>
      </c>
      <c r="D9" s="200">
        <v>7</v>
      </c>
      <c r="E9" s="193">
        <v>41.99</v>
      </c>
      <c r="F9" s="65">
        <f>(42.48+42.45+42.3+42.37+42.16+42.32+42.14+42.33+42.25+42.25+42.19+42.43+42.09+42.17+42.2+42.22+42.18+42.33+42.18+42.46+42.27+42.564+42.2+42.45+42.29+42.41+42.37+42.16+42.25+42.27+42.05+42.26+42.16+42.4+42.25+42.3+42.1+42.59+42.28+42.31+42.27+42.1+42.44+42.17+42.13+42.23+42.53+42.43+42.45+42.88+42.35+42.38+42.67+42.77+42.18+42.56+42.59+42.89+42.94+42.16+42.07+42.37+41.99+42.2+42.22+42.22+42.63)/67</f>
        <v>42.332149253731338</v>
      </c>
      <c r="G9" s="169">
        <v>215</v>
      </c>
      <c r="H9" s="3">
        <f t="shared" si="1"/>
        <v>68</v>
      </c>
      <c r="I9" s="22">
        <v>0.10866898148148148</v>
      </c>
      <c r="J9" s="22">
        <f t="shared" ref="J9:J12" si="2">I9-I8</f>
        <v>3.4062499999999996E-2</v>
      </c>
      <c r="K9" s="25">
        <f>J9+J7</f>
        <v>6.1747685185185183E-2</v>
      </c>
      <c r="L9" s="31">
        <f t="shared" si="0"/>
        <v>0.34214925373133553</v>
      </c>
      <c r="M9" s="51"/>
    </row>
    <row r="10" spans="1:14" s="2" customFormat="1" ht="30" customHeight="1" thickBot="1">
      <c r="A10" s="435"/>
      <c r="B10" s="5">
        <v>5</v>
      </c>
      <c r="C10" s="3" t="s">
        <v>20</v>
      </c>
      <c r="D10" s="200">
        <v>1</v>
      </c>
      <c r="E10" s="190">
        <v>41.71</v>
      </c>
      <c r="F10" s="65">
        <f>(42.47+42.31+42.47+42.16+42.19+42.06+42.17+41.87+41.97+42.05+42.37+41.89+42.02+42.19+41.87+41.91+41.89+42.08+42.66+42.19+42.1+42+42.03+41.89+42+42+42.06+41.97+41.95+41.74+41.92+41.98+41.71+42.23+41.86+41.82+42+42.08+42.41+42.47+42.01+42.14+41.94+43.05+42.47+42.43)/46</f>
        <v>42.109782608695653</v>
      </c>
      <c r="G10" s="169">
        <v>262</v>
      </c>
      <c r="H10" s="3">
        <f t="shared" si="1"/>
        <v>47</v>
      </c>
      <c r="I10" s="22">
        <v>0.13240740740740739</v>
      </c>
      <c r="J10" s="22">
        <f t="shared" si="2"/>
        <v>2.3738425925925913E-2</v>
      </c>
      <c r="K10" s="25">
        <f>J10+K8</f>
        <v>7.0659722222222207E-2</v>
      </c>
      <c r="L10" s="31">
        <f t="shared" si="0"/>
        <v>0.39978260869565219</v>
      </c>
      <c r="M10" s="51"/>
    </row>
    <row r="11" spans="1:14" s="2" customFormat="1" ht="30" customHeight="1">
      <c r="A11" s="435"/>
      <c r="B11" s="5">
        <v>6</v>
      </c>
      <c r="C11" s="3" t="s">
        <v>21</v>
      </c>
      <c r="D11" s="200">
        <v>13</v>
      </c>
      <c r="E11" s="191">
        <v>42.28</v>
      </c>
      <c r="F11" s="65">
        <f>(42.69+43.54+42.52+42.64+42.28+42.45+42.45+42.53+42.77+42.56+42.54+42.39+42.38+42.52+42.53+42.49+42.48+42.38+42.8)/19</f>
        <v>42.57578947368421</v>
      </c>
      <c r="G11" s="169">
        <v>282</v>
      </c>
      <c r="H11" s="3">
        <f t="shared" si="1"/>
        <v>20</v>
      </c>
      <c r="I11" s="22">
        <v>0.14302083333333335</v>
      </c>
      <c r="J11" s="22">
        <f t="shared" si="2"/>
        <v>1.0613425925925957E-2</v>
      </c>
      <c r="K11" s="25">
        <f>J11+K9</f>
        <v>7.236111111111114E-2</v>
      </c>
      <c r="L11" s="53">
        <f t="shared" si="0"/>
        <v>0.29578947368420927</v>
      </c>
      <c r="M11" s="51"/>
    </row>
    <row r="12" spans="1:14" s="2" customFormat="1" ht="30" customHeight="1" thickBot="1">
      <c r="A12" s="435"/>
      <c r="B12" s="5">
        <v>7</v>
      </c>
      <c r="C12" s="3" t="s">
        <v>20</v>
      </c>
      <c r="D12" s="200">
        <v>15</v>
      </c>
      <c r="E12" s="194">
        <v>42.2</v>
      </c>
      <c r="F12" s="65">
        <f>(42.67+42.66+42.55+42.53+42.42+42.98+42.35+42.62+42.84+42.36+42.66+42.2+42.38+42.73+42.72+42.54)/16</f>
        <v>42.575625000000002</v>
      </c>
      <c r="G12" s="169">
        <v>300</v>
      </c>
      <c r="H12" s="3">
        <f t="shared" si="1"/>
        <v>18</v>
      </c>
      <c r="I12" s="22">
        <v>0.15409722222222222</v>
      </c>
      <c r="J12" s="22">
        <f t="shared" si="2"/>
        <v>1.1076388888888872E-2</v>
      </c>
      <c r="K12" s="24">
        <f>J12+K10</f>
        <v>8.1736111111111079E-2</v>
      </c>
      <c r="L12" s="31">
        <f t="shared" si="0"/>
        <v>0.37562499999999943</v>
      </c>
      <c r="M12" s="59">
        <f>AVERAGE(L7,L9,L11,L13)</f>
        <v>0.46135968185388876</v>
      </c>
      <c r="N12" s="2" t="s">
        <v>142</v>
      </c>
    </row>
    <row r="13" spans="1:14" s="2" customFormat="1" ht="30" customHeight="1" thickBot="1">
      <c r="A13" s="435"/>
      <c r="B13" s="61" t="s">
        <v>13</v>
      </c>
      <c r="C13" s="6" t="s">
        <v>21</v>
      </c>
      <c r="D13" s="209">
        <v>13</v>
      </c>
      <c r="E13" s="198">
        <v>41.93</v>
      </c>
      <c r="F13" s="210">
        <f>(42.46+42.64+42.22+42.1+42.17+42.31+41.93+42.28+42.18+42.07+42.36+42.43+42.17+46.38+42.33+42.35+42.28+42.52+42.25+42.41+42.51+42.3+42.96+42.57)/24</f>
        <v>42.5075</v>
      </c>
      <c r="G13" s="197">
        <v>325</v>
      </c>
      <c r="H13" s="32">
        <f>G13-G12</f>
        <v>25</v>
      </c>
      <c r="I13" s="33">
        <v>0.16708333333333333</v>
      </c>
      <c r="J13" s="33">
        <f>I13-I12</f>
        <v>1.2986111111111115E-2</v>
      </c>
      <c r="K13" s="55">
        <f>J13+K11</f>
        <v>8.5347222222222255E-2</v>
      </c>
      <c r="L13" s="54">
        <f t="shared" si="0"/>
        <v>0.57750000000000057</v>
      </c>
      <c r="M13" s="60">
        <f>AVERAGE(L6,L8,L10,L12)</f>
        <v>0.49083267140468401</v>
      </c>
      <c r="N13" s="2" t="s">
        <v>59</v>
      </c>
    </row>
    <row r="14" spans="1:14" ht="16.5" thickBot="1">
      <c r="A14" s="436"/>
      <c r="B14" s="437"/>
      <c r="C14" s="438"/>
      <c r="D14" s="439"/>
      <c r="E14" s="250">
        <f>AVERAGE(E6:E13)</f>
        <v>42.136250000000004</v>
      </c>
      <c r="F14" s="63">
        <f>AVERAGE(F6:F13)</f>
        <v>42.612346176629288</v>
      </c>
      <c r="G14" s="12"/>
      <c r="H14" s="12"/>
      <c r="I14" s="12"/>
      <c r="J14" s="12"/>
      <c r="K14" s="12"/>
      <c r="L14" s="12"/>
      <c r="M14" s="12"/>
    </row>
    <row r="16" spans="1:14">
      <c r="A16" s="261"/>
    </row>
    <row r="17" spans="1:1" ht="15.75">
      <c r="A17" s="263"/>
    </row>
  </sheetData>
  <mergeCells count="15">
    <mergeCell ref="A1:M1"/>
    <mergeCell ref="A3:M3"/>
    <mergeCell ref="H4:H5"/>
    <mergeCell ref="L4:M4"/>
    <mergeCell ref="A6:A14"/>
    <mergeCell ref="B14:D14"/>
    <mergeCell ref="J4:K4"/>
    <mergeCell ref="A4:A5"/>
    <mergeCell ref="B4:B5"/>
    <mergeCell ref="C4:C5"/>
    <mergeCell ref="D4:D5"/>
    <mergeCell ref="E4:E5"/>
    <mergeCell ref="F4:F5"/>
    <mergeCell ref="G4:G5"/>
    <mergeCell ref="I4:I5"/>
  </mergeCells>
  <pageMargins left="0.31496062992125984" right="0.31496062992125984" top="0.55118110236220474" bottom="0.11811023622047245" header="0.31496062992125984" footer="0.31496062992125984"/>
  <pageSetup paperSize="9" scale="93" orientation="portrait" verticalDpi="300" r:id="rId1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17"/>
  <sheetViews>
    <sheetView topLeftCell="B1" zoomScale="90" zoomScaleNormal="90" workbookViewId="0">
      <selection activeCell="E13" sqref="E13"/>
    </sheetView>
  </sheetViews>
  <sheetFormatPr defaultRowHeight="15"/>
  <cols>
    <col min="1" max="1" width="10.5703125" customWidth="1"/>
    <col min="2" max="2" width="7.28515625" customWidth="1"/>
    <col min="3" max="3" width="23.5703125" bestFit="1" customWidth="1"/>
    <col min="4" max="5" width="8.85546875" style="41" customWidth="1"/>
    <col min="6" max="6" width="16.5703125" style="41" customWidth="1"/>
    <col min="7" max="8" width="9.42578125" style="41" customWidth="1"/>
    <col min="9" max="9" width="15.7109375" style="41" customWidth="1"/>
    <col min="10" max="10" width="12.85546875" style="41" customWidth="1"/>
    <col min="11" max="11" width="14.7109375" style="41" customWidth="1"/>
    <col min="12" max="12" width="10.5703125" style="41" customWidth="1"/>
    <col min="13" max="13" width="9.140625" style="41"/>
  </cols>
  <sheetData>
    <row r="1" spans="1:20" ht="19.5">
      <c r="A1" s="433" t="s">
        <v>149</v>
      </c>
      <c r="B1" s="433"/>
      <c r="C1" s="433"/>
      <c r="D1" s="433"/>
      <c r="E1" s="433"/>
      <c r="F1" s="433"/>
      <c r="G1" s="433"/>
      <c r="H1" s="433"/>
      <c r="I1" s="433"/>
      <c r="J1" s="433"/>
      <c r="K1" s="433"/>
      <c r="L1" s="433"/>
      <c r="M1" s="433"/>
    </row>
    <row r="2" spans="1:20" ht="10.5" customHeight="1"/>
    <row r="3" spans="1:20" ht="15.75" customHeight="1" thickBot="1">
      <c r="A3" s="432" t="s">
        <v>4</v>
      </c>
      <c r="B3" s="432"/>
      <c r="C3" s="432"/>
      <c r="D3" s="432"/>
      <c r="E3" s="432"/>
      <c r="F3" s="432"/>
      <c r="G3" s="432"/>
      <c r="H3" s="432"/>
      <c r="I3" s="432"/>
      <c r="J3" s="432"/>
      <c r="K3" s="432"/>
      <c r="L3" s="432"/>
      <c r="M3" s="432"/>
    </row>
    <row r="4" spans="1:20" s="1" customFormat="1" ht="25.5" customHeight="1">
      <c r="A4" s="335" t="s">
        <v>6</v>
      </c>
      <c r="B4" s="443" t="s">
        <v>7</v>
      </c>
      <c r="C4" s="440" t="s">
        <v>2</v>
      </c>
      <c r="D4" s="445" t="s">
        <v>5</v>
      </c>
      <c r="E4" s="447" t="s">
        <v>75</v>
      </c>
      <c r="F4" s="447" t="s">
        <v>55</v>
      </c>
      <c r="G4" s="440" t="s">
        <v>76</v>
      </c>
      <c r="H4" s="440" t="s">
        <v>77</v>
      </c>
      <c r="I4" s="440" t="s">
        <v>56</v>
      </c>
      <c r="J4" s="331" t="s">
        <v>14</v>
      </c>
      <c r="K4" s="449"/>
      <c r="L4" s="331" t="s">
        <v>78</v>
      </c>
      <c r="M4" s="442"/>
      <c r="N4" s="41"/>
    </row>
    <row r="5" spans="1:20" s="1" customFormat="1" ht="22.5" customHeight="1" thickBot="1">
      <c r="A5" s="337"/>
      <c r="B5" s="444"/>
      <c r="C5" s="441"/>
      <c r="D5" s="446"/>
      <c r="E5" s="448"/>
      <c r="F5" s="448"/>
      <c r="G5" s="441"/>
      <c r="H5" s="441"/>
      <c r="I5" s="441"/>
      <c r="J5" s="35" t="s">
        <v>1</v>
      </c>
      <c r="K5" s="35" t="s">
        <v>0</v>
      </c>
      <c r="L5" s="56" t="s">
        <v>79</v>
      </c>
      <c r="M5" s="57" t="s">
        <v>80</v>
      </c>
      <c r="N5" s="41"/>
    </row>
    <row r="6" spans="1:20" s="2" customFormat="1" ht="30" customHeight="1">
      <c r="A6" s="434" t="s">
        <v>71</v>
      </c>
      <c r="B6" s="37">
        <v>1</v>
      </c>
      <c r="C6" s="196" t="s">
        <v>67</v>
      </c>
      <c r="D6" s="199">
        <v>5</v>
      </c>
      <c r="E6" s="67">
        <v>42.5</v>
      </c>
      <c r="F6" s="66">
        <f>(43.1+43.48+45.73+43.03+42.5+42.8+42.85+42.54+42.68+43.24+43.47+42.71+43+42.93+43.73+43.03+43.54+43.28+42.7+44.5+42.87+42.82+43.99)/23</f>
        <v>43.24</v>
      </c>
      <c r="G6" s="196">
        <v>24</v>
      </c>
      <c r="H6" s="46">
        <f>G6-0</f>
        <v>24</v>
      </c>
      <c r="I6" s="48">
        <v>1.2118055555555556E-2</v>
      </c>
      <c r="J6" s="48">
        <f>I6</f>
        <v>1.2118055555555556E-2</v>
      </c>
      <c r="K6" s="49">
        <f>J6</f>
        <v>1.2118055555555556E-2</v>
      </c>
      <c r="L6" s="58">
        <f>F6-E6</f>
        <v>0.74000000000000199</v>
      </c>
      <c r="M6" s="50"/>
    </row>
    <row r="7" spans="1:20" s="2" customFormat="1" ht="30" customHeight="1">
      <c r="A7" s="435"/>
      <c r="B7" s="5">
        <v>2</v>
      </c>
      <c r="C7" s="208" t="s">
        <v>66</v>
      </c>
      <c r="D7" s="200">
        <v>11</v>
      </c>
      <c r="E7" s="193">
        <v>42.28</v>
      </c>
      <c r="F7" s="65">
        <f>(43.01+43.05+43.27+42.91+42.5+42.87+43.03+43.02+43.46+42.75+42.5+42.92+42.48+42.55+42.81+42.8+42.76+42.8+42.74+42.48+42.68+42.62+44.08+42.68+43.08+42.94+42.76+42.67+42.79+42.56+44.07+42.63+42.28+42.8+42.96+43.46+43.01+42.82+42.55+42.86+43.47+43.28+43.09+42.6+42.79+43.08+43.28)/47</f>
        <v>42.906382978723386</v>
      </c>
      <c r="G7" s="169">
        <v>72</v>
      </c>
      <c r="H7" s="3">
        <f>G7-G6</f>
        <v>48</v>
      </c>
      <c r="I7" s="22">
        <v>3.681712962962963E-2</v>
      </c>
      <c r="J7" s="22">
        <f>I7-I6</f>
        <v>2.4699074074074075E-2</v>
      </c>
      <c r="K7" s="23">
        <f>J7</f>
        <v>2.4699074074074075E-2</v>
      </c>
      <c r="L7" s="31">
        <f t="shared" ref="L7:L13" si="0">F7-E7</f>
        <v>0.62638297872338455</v>
      </c>
      <c r="M7" s="51"/>
    </row>
    <row r="8" spans="1:20" s="2" customFormat="1" ht="30" customHeight="1">
      <c r="A8" s="435"/>
      <c r="B8" s="5">
        <v>3</v>
      </c>
      <c r="C8" s="169" t="s">
        <v>67</v>
      </c>
      <c r="D8" s="200">
        <v>13</v>
      </c>
      <c r="E8" s="239">
        <v>42.14</v>
      </c>
      <c r="F8" s="65">
        <f>(43.05+42.45+42.54+42.83+42.73+42.59+42.23+42.64+43.31+42.57+42.7+42.39+42.52+42.35+42.38+42.52+42.56+42.56+42.41+42.52+42.14+42.43+42.53+42.42+42.66+43.55+42.6+43.74+42.9+42.69+42.47+42.97+43.63+43.06+42.74+42.21+42.56+42.73+43.47+42.6+42.67+43.25+42.15+42.72+42.63+42.51+42.38+43.67+43.22+42.28+42.4+43.05+42.66+42.41+42.29+42.47+42.36+42.85+42.37+42.43+42.53+42.31+42.92+43.02+42.51+42.59+42.39+42.5)/68</f>
        <v>42.668970588235297</v>
      </c>
      <c r="G8" s="169">
        <v>141</v>
      </c>
      <c r="H8" s="3">
        <f t="shared" ref="H8:H12" si="1">G8-G7</f>
        <v>69</v>
      </c>
      <c r="I8" s="22">
        <v>7.1712962962962964E-2</v>
      </c>
      <c r="J8" s="257">
        <f>I8-I7</f>
        <v>3.4895833333333334E-2</v>
      </c>
      <c r="K8" s="23">
        <f>J8+J6</f>
        <v>4.701388888888889E-2</v>
      </c>
      <c r="L8" s="31">
        <f t="shared" si="0"/>
        <v>0.52897058823529619</v>
      </c>
      <c r="M8" s="51"/>
    </row>
    <row r="9" spans="1:20" s="2" customFormat="1" ht="30" customHeight="1">
      <c r="A9" s="435"/>
      <c r="B9" s="5">
        <v>4</v>
      </c>
      <c r="C9" s="169" t="s">
        <v>66</v>
      </c>
      <c r="D9" s="203" t="s">
        <v>144</v>
      </c>
      <c r="E9" s="251">
        <v>42.61</v>
      </c>
      <c r="F9" s="65">
        <f>(43.19+42.24+43.22+43.52+43.23+43.29+43.6+43.08+43.29+43.9+43.42+44.08+42.96+44.68+43.6+43.3+42.61+43.29+42.73+42.55+42.92+42.88+42.68+42.81+43.13+44.18+42.79+42.97+42.67+42.6+42.83+42.78+42.79+42.67+42.76+43.02+43.25)/37</f>
        <v>43.121891891891892</v>
      </c>
      <c r="G9" s="169">
        <v>180</v>
      </c>
      <c r="H9" s="3">
        <f t="shared" si="1"/>
        <v>39</v>
      </c>
      <c r="I9" s="22">
        <v>9.2812500000000006E-2</v>
      </c>
      <c r="J9" s="22">
        <f t="shared" ref="J9:J12" si="2">I9-I8</f>
        <v>2.1099537037037042E-2</v>
      </c>
      <c r="K9" s="25">
        <f>J9+J7</f>
        <v>4.5798611111111116E-2</v>
      </c>
      <c r="L9" s="31">
        <f t="shared" si="0"/>
        <v>0.51189189189189221</v>
      </c>
      <c r="M9" s="51"/>
    </row>
    <row r="10" spans="1:20" s="2" customFormat="1" ht="30" customHeight="1" thickBot="1">
      <c r="A10" s="435"/>
      <c r="B10" s="5">
        <v>5</v>
      </c>
      <c r="C10" s="169" t="s">
        <v>67</v>
      </c>
      <c r="D10" s="200">
        <v>13</v>
      </c>
      <c r="E10" s="193">
        <v>42.15</v>
      </c>
      <c r="F10" s="65">
        <f>(43.63+43.33+42.6+42.39+42.65+43.05+42.21+42.54+42.15+42.44+42.48+42.28+42.55+42.5+42.77+43.68+42.42+43.38+42.63+42.66+42.67+42.5+42.44+42.65+42.59)/25</f>
        <v>42.687599999999996</v>
      </c>
      <c r="G10" s="169">
        <v>206</v>
      </c>
      <c r="H10" s="3">
        <f t="shared" si="1"/>
        <v>26</v>
      </c>
      <c r="I10" s="22">
        <v>0.10644675925925927</v>
      </c>
      <c r="J10" s="22">
        <f t="shared" si="2"/>
        <v>1.3634259259259263E-2</v>
      </c>
      <c r="K10" s="25">
        <f>J10+K8</f>
        <v>6.0648148148148152E-2</v>
      </c>
      <c r="L10" s="31">
        <f t="shared" si="0"/>
        <v>0.53759999999999764</v>
      </c>
      <c r="M10" s="51"/>
    </row>
    <row r="11" spans="1:20" s="2" customFormat="1" ht="30" customHeight="1" thickBot="1">
      <c r="A11" s="435"/>
      <c r="B11" s="5">
        <v>6</v>
      </c>
      <c r="C11" s="169" t="s">
        <v>66</v>
      </c>
      <c r="D11" s="200">
        <v>3</v>
      </c>
      <c r="E11" s="190">
        <v>41.86</v>
      </c>
      <c r="F11" s="65">
        <f>(42.64+42.54+42.55+42.62+42.54+42.16+42.36+42.41+42.3+41.94+42.47+42.05+42+41.88+42.38+42.17+42.27+42.05+42.07+42.46+42.3+42.15+41.86+42.39+42.44+42.52+42.41+41.94+41.9+42.44+41.96+42.88+42.46+42.14+41.95+42.38+42.4+42.18+42.2+42.74+42.79+42.43+42.26+42.66+42.41+42.56+41.91+42.28+42.14+42.46+42.32+42.67+44.12+42.06+42.44+42.24+42.66+42.1+42.42)/59</f>
        <v>42.346271186440688</v>
      </c>
      <c r="G11" s="169">
        <v>266</v>
      </c>
      <c r="H11" s="3">
        <f t="shared" si="1"/>
        <v>60</v>
      </c>
      <c r="I11" s="22">
        <v>0.1366087962962963</v>
      </c>
      <c r="J11" s="22">
        <f t="shared" si="2"/>
        <v>3.0162037037037029E-2</v>
      </c>
      <c r="K11" s="25">
        <f>J11+K9</f>
        <v>7.5960648148148152E-2</v>
      </c>
      <c r="L11" s="53">
        <f t="shared" si="0"/>
        <v>0.48627118644068901</v>
      </c>
      <c r="M11" s="51"/>
      <c r="O11" s="28"/>
      <c r="P11" s="28"/>
      <c r="Q11" s="28"/>
      <c r="R11" s="28"/>
      <c r="S11" s="28"/>
      <c r="T11" s="28"/>
    </row>
    <row r="12" spans="1:20" s="2" customFormat="1" ht="30" customHeight="1" thickBot="1">
      <c r="A12" s="435"/>
      <c r="B12" s="5">
        <v>7</v>
      </c>
      <c r="C12" s="169" t="s">
        <v>67</v>
      </c>
      <c r="D12" s="200">
        <v>2</v>
      </c>
      <c r="E12" s="198">
        <v>41.98</v>
      </c>
      <c r="F12" s="65">
        <f>(42.23+42.42+43.18+43.04+42.96+42.79+42.66+42.58+42.6+42.92+42.26+42.5+42.21+42.15+42.31+42.29+42.18+42.38+42.44+42.16+42.32+43.13+42.34+42.59+42.41+42.42+42.21+41.98+42.29+42.07+42.93)/31</f>
        <v>42.482258064516131</v>
      </c>
      <c r="G12" s="169">
        <v>299</v>
      </c>
      <c r="H12" s="3">
        <f t="shared" si="1"/>
        <v>33</v>
      </c>
      <c r="I12" s="22">
        <v>0.15418981481481481</v>
      </c>
      <c r="J12" s="22">
        <f t="shared" si="2"/>
        <v>1.758101851851851E-2</v>
      </c>
      <c r="K12" s="24">
        <f>J12+K10</f>
        <v>7.8229166666666655E-2</v>
      </c>
      <c r="L12" s="53">
        <f t="shared" si="0"/>
        <v>0.50225806451613408</v>
      </c>
      <c r="M12" s="59">
        <f>AVERAGE(L6,L8,L10,L12)</f>
        <v>0.57720716318785747</v>
      </c>
      <c r="N12" s="2" t="s">
        <v>74</v>
      </c>
    </row>
    <row r="13" spans="1:20" s="2" customFormat="1" ht="30" customHeight="1" thickBot="1">
      <c r="A13" s="435"/>
      <c r="B13" s="61" t="s">
        <v>13</v>
      </c>
      <c r="C13" s="207" t="s">
        <v>66</v>
      </c>
      <c r="D13" s="209">
        <v>9</v>
      </c>
      <c r="E13" s="191">
        <v>42.02</v>
      </c>
      <c r="F13" s="210">
        <f>(42.65+42.87+43.08+42.62+42.68+42.35+42.29+43.72+42.88+43.4+42.27+42.67+42.48+42.33+42.61+42.43+42.91+42.83+43.17+42.77+42.85+42.02+42.48+42.3)/24</f>
        <v>42.694166666666661</v>
      </c>
      <c r="G13" s="197">
        <v>324</v>
      </c>
      <c r="H13" s="32">
        <f>G13-G12</f>
        <v>25</v>
      </c>
      <c r="I13" s="33">
        <v>0.16717592592592592</v>
      </c>
      <c r="J13" s="33">
        <f>I13-I12</f>
        <v>1.2986111111111115E-2</v>
      </c>
      <c r="K13" s="55">
        <f>J13+K11</f>
        <v>8.8946759259259267E-2</v>
      </c>
      <c r="L13" s="54">
        <f t="shared" si="0"/>
        <v>0.67416666666665748</v>
      </c>
      <c r="M13" s="60">
        <f>AVERAGE(L7,L9,L11,L13)</f>
        <v>0.57467818093065581</v>
      </c>
      <c r="N13" s="2" t="s">
        <v>114</v>
      </c>
    </row>
    <row r="14" spans="1:20" ht="16.5" thickBot="1">
      <c r="A14" s="436"/>
      <c r="B14" s="437"/>
      <c r="C14" s="438"/>
      <c r="D14" s="439"/>
      <c r="E14" s="250">
        <f>AVERAGE(E6:E13)</f>
        <v>42.192500000000003</v>
      </c>
      <c r="F14" s="63">
        <f>AVERAGE(F6:F13)</f>
        <v>42.768442672059258</v>
      </c>
      <c r="G14" s="12"/>
      <c r="H14" s="12"/>
      <c r="I14" s="12"/>
      <c r="J14" s="256" t="s">
        <v>147</v>
      </c>
      <c r="K14" s="12"/>
      <c r="L14" s="12"/>
      <c r="M14" s="12"/>
    </row>
    <row r="16" spans="1:20">
      <c r="A16" s="261"/>
    </row>
    <row r="17" spans="1:1" ht="15.75">
      <c r="A17" s="30"/>
    </row>
  </sheetData>
  <mergeCells count="15">
    <mergeCell ref="A1:M1"/>
    <mergeCell ref="A3:M3"/>
    <mergeCell ref="H4:H5"/>
    <mergeCell ref="L4:M4"/>
    <mergeCell ref="A6:A14"/>
    <mergeCell ref="B14:D14"/>
    <mergeCell ref="J4:K4"/>
    <mergeCell ref="A4:A5"/>
    <mergeCell ref="B4:B5"/>
    <mergeCell ref="C4:C5"/>
    <mergeCell ref="D4:D5"/>
    <mergeCell ref="E4:E5"/>
    <mergeCell ref="F4:F5"/>
    <mergeCell ref="G4:G5"/>
    <mergeCell ref="I4:I5"/>
  </mergeCells>
  <pageMargins left="0.31496062992125984" right="0.31496062992125984" top="0.55118110236220474" bottom="0.11811023622047245" header="0.31496062992125984" footer="0.31496062992125984"/>
  <pageSetup paperSize="9" scale="93" orientation="portrait" verticalDpi="300" r:id="rId1"/>
</worksheet>
</file>

<file path=xl/worksheets/sheet1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17"/>
  <sheetViews>
    <sheetView zoomScale="90" zoomScaleNormal="90" workbookViewId="0">
      <selection activeCell="A16" sqref="A16"/>
    </sheetView>
  </sheetViews>
  <sheetFormatPr defaultRowHeight="15"/>
  <cols>
    <col min="1" max="1" width="10.5703125" customWidth="1"/>
    <col min="2" max="2" width="7.28515625" customWidth="1"/>
    <col min="3" max="3" width="23.5703125" bestFit="1" customWidth="1"/>
    <col min="4" max="5" width="8.85546875" style="41" customWidth="1"/>
    <col min="6" max="6" width="16.5703125" style="41" customWidth="1"/>
    <col min="7" max="8" width="9.42578125" style="41" customWidth="1"/>
    <col min="9" max="9" width="15.7109375" style="41" customWidth="1"/>
    <col min="10" max="10" width="12.85546875" style="41" customWidth="1"/>
    <col min="11" max="11" width="14.7109375" style="41" customWidth="1"/>
    <col min="12" max="12" width="10.5703125" style="41" customWidth="1"/>
    <col min="13" max="13" width="9.140625" style="41"/>
  </cols>
  <sheetData>
    <row r="1" spans="1:14" ht="19.5">
      <c r="A1" s="433" t="s">
        <v>149</v>
      </c>
      <c r="B1" s="433"/>
      <c r="C1" s="433"/>
      <c r="D1" s="433"/>
      <c r="E1" s="433"/>
      <c r="F1" s="433"/>
      <c r="G1" s="433"/>
      <c r="H1" s="433"/>
      <c r="I1" s="433"/>
      <c r="J1" s="433"/>
      <c r="K1" s="433"/>
      <c r="L1" s="433"/>
      <c r="M1" s="433"/>
    </row>
    <row r="2" spans="1:14" ht="10.5" customHeight="1"/>
    <row r="3" spans="1:14" ht="15.75" customHeight="1" thickBot="1">
      <c r="A3" s="432" t="s">
        <v>4</v>
      </c>
      <c r="B3" s="432"/>
      <c r="C3" s="432"/>
      <c r="D3" s="432"/>
      <c r="E3" s="432"/>
      <c r="F3" s="432"/>
      <c r="G3" s="432"/>
      <c r="H3" s="432"/>
      <c r="I3" s="432"/>
      <c r="J3" s="432"/>
      <c r="K3" s="432"/>
      <c r="L3" s="432"/>
      <c r="M3" s="432"/>
    </row>
    <row r="4" spans="1:14" s="1" customFormat="1" ht="25.5" customHeight="1">
      <c r="A4" s="335" t="s">
        <v>6</v>
      </c>
      <c r="B4" s="443" t="s">
        <v>7</v>
      </c>
      <c r="C4" s="440" t="s">
        <v>2</v>
      </c>
      <c r="D4" s="445" t="s">
        <v>5</v>
      </c>
      <c r="E4" s="447" t="s">
        <v>75</v>
      </c>
      <c r="F4" s="447" t="s">
        <v>55</v>
      </c>
      <c r="G4" s="440" t="s">
        <v>76</v>
      </c>
      <c r="H4" s="440" t="s">
        <v>77</v>
      </c>
      <c r="I4" s="440" t="s">
        <v>56</v>
      </c>
      <c r="J4" s="331" t="s">
        <v>14</v>
      </c>
      <c r="K4" s="449"/>
      <c r="L4" s="331" t="s">
        <v>78</v>
      </c>
      <c r="M4" s="442"/>
      <c r="N4" s="41"/>
    </row>
    <row r="5" spans="1:14" s="1" customFormat="1" ht="22.5" customHeight="1" thickBot="1">
      <c r="A5" s="337"/>
      <c r="B5" s="444"/>
      <c r="C5" s="441"/>
      <c r="D5" s="446"/>
      <c r="E5" s="448"/>
      <c r="F5" s="448"/>
      <c r="G5" s="441"/>
      <c r="H5" s="441"/>
      <c r="I5" s="441"/>
      <c r="J5" s="35" t="s">
        <v>1</v>
      </c>
      <c r="K5" s="35" t="s">
        <v>0</v>
      </c>
      <c r="L5" s="56" t="s">
        <v>79</v>
      </c>
      <c r="M5" s="57" t="s">
        <v>80</v>
      </c>
      <c r="N5" s="41"/>
    </row>
    <row r="6" spans="1:14" s="2" customFormat="1" ht="30" customHeight="1" thickBot="1">
      <c r="A6" s="434" t="s">
        <v>73</v>
      </c>
      <c r="B6" s="37">
        <v>1</v>
      </c>
      <c r="C6" s="196" t="s">
        <v>109</v>
      </c>
      <c r="D6" s="252" t="s">
        <v>145</v>
      </c>
      <c r="E6" s="190">
        <v>42.15</v>
      </c>
      <c r="F6" s="66">
        <f>(43.87+43.11+42.8+42.56+42.54+43.24+42.69+42.6+42.47+42.15+42.81+42.39+42.6+42.21+42.84+43.07+42.73+43.15+42.49)/19</f>
        <v>42.753684210526323</v>
      </c>
      <c r="G6" s="196">
        <v>21</v>
      </c>
      <c r="H6" s="46">
        <f>G6-0</f>
        <v>21</v>
      </c>
      <c r="I6" s="48">
        <v>1.1099537037037038E-2</v>
      </c>
      <c r="J6" s="48">
        <f>I6</f>
        <v>1.1099537037037038E-2</v>
      </c>
      <c r="K6" s="49">
        <f>J6</f>
        <v>1.1099537037037038E-2</v>
      </c>
      <c r="L6" s="31">
        <f>F6-E6</f>
        <v>0.6036842105263247</v>
      </c>
      <c r="M6" s="50"/>
    </row>
    <row r="7" spans="1:14" s="2" customFormat="1" ht="30" customHeight="1">
      <c r="A7" s="435"/>
      <c r="B7" s="5">
        <v>2</v>
      </c>
      <c r="C7" s="208" t="s">
        <v>70</v>
      </c>
      <c r="D7" s="200">
        <v>14</v>
      </c>
      <c r="E7" s="191">
        <v>42.53</v>
      </c>
      <c r="F7" s="65">
        <f>(43.96+43.26+43.68+43.02+42.93+43.26+47.65+42.76+42.63+43.19+42.56+42.92+42.65+42.57+42.72+43.52+42.78+42.96+42.94+42.9+42.87+43.53+42.83+42.64+42.8+42.85+42.98+42.81+43.33+42.96+43+43.28+42.91+42.68+42.69+42.53+42.84+43.53+42.86+42.77+42.71+42.58+42.67+42.58+43.09+42.61+42.87+43.18+43.04+43.21)/50</f>
        <v>43.041799999999988</v>
      </c>
      <c r="G7" s="169">
        <v>72</v>
      </c>
      <c r="H7" s="3">
        <f>G7-G6</f>
        <v>51</v>
      </c>
      <c r="I7" s="22">
        <v>3.7280092592592594E-2</v>
      </c>
      <c r="J7" s="22">
        <f>I7-I6</f>
        <v>2.6180555555555554E-2</v>
      </c>
      <c r="K7" s="23">
        <f>J7</f>
        <v>2.6180555555555554E-2</v>
      </c>
      <c r="L7" s="31">
        <f t="shared" ref="L7:L13" si="0">F7-E7</f>
        <v>0.51179999999998671</v>
      </c>
      <c r="M7" s="51"/>
    </row>
    <row r="8" spans="1:14" s="2" customFormat="1" ht="30" customHeight="1">
      <c r="A8" s="435"/>
      <c r="B8" s="5">
        <v>3</v>
      </c>
      <c r="C8" s="169" t="s">
        <v>109</v>
      </c>
      <c r="D8" s="200">
        <v>11</v>
      </c>
      <c r="E8" s="206">
        <v>42.64</v>
      </c>
      <c r="F8" s="65">
        <f>(43.83+42.88+43.23+43.03+42.98+43.23+43.05+43.07+42.91+42.91+42.81+43.03+42.75+42.64+42.81+43.55+42.74+42.7+42.79+42.7+42.85+42.73+42.89+42.73+42.77+43.16+43.67+43.32+43.98+43.03+43.02+44.86+42.81+42.98+42.91+44.59)/36</f>
        <v>43.109444444444449</v>
      </c>
      <c r="G8" s="169">
        <v>109</v>
      </c>
      <c r="H8" s="3">
        <f t="shared" ref="H8:H13" si="1">G8-G7</f>
        <v>37</v>
      </c>
      <c r="I8" s="22">
        <v>5.693287037037037E-2</v>
      </c>
      <c r="J8" s="22">
        <f>I8-I7</f>
        <v>1.9652777777777776E-2</v>
      </c>
      <c r="K8" s="23">
        <f t="shared" ref="K8:K11" si="2">J8+K6</f>
        <v>3.0752314814814816E-2</v>
      </c>
      <c r="L8" s="31">
        <f t="shared" si="0"/>
        <v>0.46944444444444855</v>
      </c>
      <c r="M8" s="51"/>
    </row>
    <row r="9" spans="1:14" s="2" customFormat="1" ht="30" customHeight="1">
      <c r="A9" s="435"/>
      <c r="B9" s="5">
        <v>4</v>
      </c>
      <c r="C9" s="169" t="s">
        <v>70</v>
      </c>
      <c r="D9" s="200">
        <v>12</v>
      </c>
      <c r="E9" s="192">
        <v>42.59</v>
      </c>
      <c r="F9" s="65">
        <f>(43.17+43.15+42.93+42.75+42.59+42.7+42.84+42.8+43.02+42.6+42.77+42.83+42.67+43+42.78+42.74+42.8+43.01+43.81+43.99+43.28+42.94+42.84+42.81+42.8+42.79+43.35+42.93+42.78+44.02+42.93+43.75+43.01+42.74+43.43)/35</f>
        <v>43.01</v>
      </c>
      <c r="G9" s="169">
        <v>145</v>
      </c>
      <c r="H9" s="3">
        <f t="shared" si="1"/>
        <v>36</v>
      </c>
      <c r="I9" s="22">
        <v>7.5624999999999998E-2</v>
      </c>
      <c r="J9" s="22">
        <f t="shared" ref="J9:J11" si="3">I9-I8</f>
        <v>1.8692129629629628E-2</v>
      </c>
      <c r="K9" s="25">
        <f t="shared" si="2"/>
        <v>4.4872685185185182E-2</v>
      </c>
      <c r="L9" s="31">
        <f t="shared" si="0"/>
        <v>0.4199999999999946</v>
      </c>
      <c r="M9" s="51"/>
    </row>
    <row r="10" spans="1:14" s="2" customFormat="1" ht="30" customHeight="1">
      <c r="A10" s="435"/>
      <c r="B10" s="5">
        <v>5</v>
      </c>
      <c r="C10" s="169" t="s">
        <v>109</v>
      </c>
      <c r="D10" s="200">
        <v>21</v>
      </c>
      <c r="E10" s="191">
        <v>42.4</v>
      </c>
      <c r="F10" s="65">
        <f>(42.68+42.84+42.56+42.78+42.51+42.4+42.68+42.55+42.8+42.83+42.58+42.48+42.49+42.85+42.48+42.73+42.61+42.52+42.61+42.51+42.73+42.87+43.03+42.71+43.41+42.44+42.76+42.56+43+43.11+42.77+43.02)/32</f>
        <v>42.715624999999996</v>
      </c>
      <c r="G10" s="169">
        <v>178</v>
      </c>
      <c r="H10" s="3">
        <f t="shared" si="1"/>
        <v>33</v>
      </c>
      <c r="I10" s="22">
        <v>9.2743055555555565E-2</v>
      </c>
      <c r="J10" s="22">
        <f t="shared" si="3"/>
        <v>1.7118055555555567E-2</v>
      </c>
      <c r="K10" s="25">
        <f t="shared" si="2"/>
        <v>4.7870370370370383E-2</v>
      </c>
      <c r="L10" s="53">
        <f t="shared" si="0"/>
        <v>0.31562499999999716</v>
      </c>
      <c r="M10" s="51"/>
    </row>
    <row r="11" spans="1:14" s="2" customFormat="1" ht="30" customHeight="1">
      <c r="A11" s="435"/>
      <c r="B11" s="5">
        <v>6</v>
      </c>
      <c r="C11" s="169" t="s">
        <v>70</v>
      </c>
      <c r="D11" s="200">
        <v>15</v>
      </c>
      <c r="E11" s="192">
        <v>42.75</v>
      </c>
      <c r="F11" s="65">
        <f>(43.33+43.29+42.97+42.91+44.93+42.87+43.24+43.86+43.05+43.18+43.01+42.75+42.99+43.07+42.91+45.35+42.91+42.93+43.41+43.13+43.19+43.32+43.5+43.53+43.3+43.33+43.36+44.23+43.51+43.2+43.19+43.43+44.1)/33</f>
        <v>43.372121212121215</v>
      </c>
      <c r="G11" s="169">
        <v>212</v>
      </c>
      <c r="H11" s="3">
        <f t="shared" si="1"/>
        <v>34</v>
      </c>
      <c r="I11" s="22">
        <v>0.11056712962962963</v>
      </c>
      <c r="J11" s="22">
        <f t="shared" si="3"/>
        <v>1.7824074074074062E-2</v>
      </c>
      <c r="K11" s="25">
        <f t="shared" si="2"/>
        <v>6.2696759259259244E-2</v>
      </c>
      <c r="L11" s="31">
        <f t="shared" si="0"/>
        <v>0.62212121212121474</v>
      </c>
      <c r="M11" s="59"/>
    </row>
    <row r="12" spans="1:14" s="2" customFormat="1" ht="30" customHeight="1">
      <c r="A12" s="435"/>
      <c r="B12" s="211">
        <v>7</v>
      </c>
      <c r="C12" s="207" t="s">
        <v>109</v>
      </c>
      <c r="D12" s="209">
        <v>9</v>
      </c>
      <c r="E12" s="192">
        <v>42.41</v>
      </c>
      <c r="F12" s="210">
        <f>(42.84+42.97+42.8+42.84+42.63+42.91+42.58+42.76+43.4+43.01+42.41+42.57+42.6+42.72+42.78+42.62+43.11+42.62+42.8+42.82+42.67+42.79+42.71+44.43+42.61+42.77+42.6+42.56+42.77+42.64+42.85+42.71+42.78+42.87+42.79+42.67+43.11+42.69+43.53+42.55)/40</f>
        <v>42.82224999999999</v>
      </c>
      <c r="G12" s="207">
        <v>253</v>
      </c>
      <c r="H12" s="3">
        <f>G12-G11</f>
        <v>41</v>
      </c>
      <c r="I12" s="212">
        <v>0.13168981481481482</v>
      </c>
      <c r="J12" s="22">
        <f>I12-I11</f>
        <v>2.1122685185185189E-2</v>
      </c>
      <c r="K12" s="253">
        <f>J12+K10</f>
        <v>6.8993055555555571E-2</v>
      </c>
      <c r="L12" s="31">
        <f t="shared" si="0"/>
        <v>0.41224999999999312</v>
      </c>
      <c r="M12" s="213">
        <f>AVERAGE(L6,L8,L10,L12)</f>
        <v>0.45025091374269088</v>
      </c>
      <c r="N12" s="2" t="s">
        <v>109</v>
      </c>
    </row>
    <row r="13" spans="1:14" s="2" customFormat="1" ht="30" customHeight="1" thickBot="1">
      <c r="A13" s="435"/>
      <c r="B13" s="61" t="s">
        <v>13</v>
      </c>
      <c r="C13" s="207" t="s">
        <v>70</v>
      </c>
      <c r="D13" s="207">
        <v>12</v>
      </c>
      <c r="E13" s="194">
        <v>42.78</v>
      </c>
      <c r="F13" s="195">
        <f>(43.61+43.21+43.33+43.06+44.5+43.23+43.21+42.95+42.88+43.45+43.1+43.06+43.37+43.47+42.93+43.27+43.25+43.01+42.88+43.19+43.21+43.07+43.22+43.18+43.32+43.55+42.84+43.61+43.42+42.9+43.71+42.95+42.87+42.92+42.87+42.88+42.9+43.18+42.78+42.96+42.98+42.85+42.97+43.03+42.78+42.9+43.56+43.5+43.04+45.13+43.15+42.78+42.91+43.39+42.98+43.69+43.23+43.24+43.35+43.37+43.18+43.29+44.24+45.06+43.63)/65</f>
        <v>43.254307692307684</v>
      </c>
      <c r="G13" s="197">
        <v>320</v>
      </c>
      <c r="H13" s="3">
        <f t="shared" si="1"/>
        <v>67</v>
      </c>
      <c r="I13" s="33">
        <v>0.16694444444444445</v>
      </c>
      <c r="J13" s="255">
        <f>I13-I12</f>
        <v>3.5254629629629636E-2</v>
      </c>
      <c r="K13" s="55">
        <f>J13+K11</f>
        <v>9.795138888888888E-2</v>
      </c>
      <c r="L13" s="54">
        <f t="shared" si="0"/>
        <v>0.47430769230768277</v>
      </c>
      <c r="M13" s="60">
        <f>AVERAGE(L7,L9,L11,L13)</f>
        <v>0.50705722610721971</v>
      </c>
      <c r="N13" s="2" t="s">
        <v>143</v>
      </c>
    </row>
    <row r="14" spans="1:14" ht="16.5" thickBot="1">
      <c r="A14" s="436"/>
      <c r="B14" s="437"/>
      <c r="C14" s="438"/>
      <c r="D14" s="439"/>
      <c r="E14" s="62">
        <f>AVERAGE(E6:E13)</f>
        <v>42.53125</v>
      </c>
      <c r="F14" s="63">
        <f>AVERAGE(F6:F13)</f>
        <v>43.009904069924957</v>
      </c>
      <c r="G14" s="12"/>
      <c r="H14" s="12"/>
      <c r="I14" s="12"/>
      <c r="J14" s="256" t="s">
        <v>147</v>
      </c>
      <c r="K14" s="254" t="s">
        <v>146</v>
      </c>
      <c r="L14" s="12"/>
      <c r="M14" s="12"/>
    </row>
    <row r="16" spans="1:14">
      <c r="A16" s="261"/>
    </row>
    <row r="17" spans="1:1" ht="15.75">
      <c r="A17" s="30"/>
    </row>
  </sheetData>
  <mergeCells count="15">
    <mergeCell ref="A1:M1"/>
    <mergeCell ref="A3:M3"/>
    <mergeCell ref="H4:H5"/>
    <mergeCell ref="L4:M4"/>
    <mergeCell ref="A6:A14"/>
    <mergeCell ref="B14:D14"/>
    <mergeCell ref="J4:K4"/>
    <mergeCell ref="A4:A5"/>
    <mergeCell ref="B4:B5"/>
    <mergeCell ref="C4:C5"/>
    <mergeCell ref="D4:D5"/>
    <mergeCell ref="E4:E5"/>
    <mergeCell ref="F4:F5"/>
    <mergeCell ref="G4:G5"/>
    <mergeCell ref="I4:I5"/>
  </mergeCells>
  <pageMargins left="0.31496062992125984" right="0.31496062992125984" top="0.55118110236220474" bottom="0.11811023622047245" header="0.31496062992125984" footer="0.31496062992125984"/>
  <pageSetup paperSize="9" scale="93" orientation="portrait" verticalDpi="300"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2:H66"/>
  <sheetViews>
    <sheetView workbookViewId="0">
      <selection activeCell="B10" sqref="B10"/>
    </sheetView>
  </sheetViews>
  <sheetFormatPr defaultRowHeight="15"/>
  <cols>
    <col min="1" max="1" width="6.42578125" customWidth="1"/>
    <col min="2" max="2" width="19.7109375" style="45" customWidth="1"/>
    <col min="3" max="3" width="18" style="41" customWidth="1"/>
    <col min="4" max="4" width="9.140625" style="270"/>
    <col min="5" max="5" width="10.7109375" style="271" customWidth="1"/>
    <col min="6" max="6" width="10.7109375" customWidth="1"/>
    <col min="8" max="8" width="9.140625" style="12"/>
  </cols>
  <sheetData>
    <row r="2" spans="1:8" ht="15.75">
      <c r="A2" s="68" t="s">
        <v>82</v>
      </c>
      <c r="B2" s="68" t="s">
        <v>2</v>
      </c>
      <c r="C2" s="68" t="s">
        <v>3</v>
      </c>
      <c r="D2" s="268" t="s">
        <v>83</v>
      </c>
      <c r="E2" s="268" t="s">
        <v>84</v>
      </c>
      <c r="F2" s="68" t="s">
        <v>85</v>
      </c>
      <c r="G2" s="68" t="s">
        <v>86</v>
      </c>
      <c r="H2" s="69" t="s">
        <v>87</v>
      </c>
    </row>
    <row r="3" spans="1:8" ht="15.75">
      <c r="A3" s="70">
        <v>1</v>
      </c>
      <c r="B3" s="264" t="s">
        <v>16</v>
      </c>
      <c r="C3" s="169" t="s">
        <v>17</v>
      </c>
      <c r="D3" s="269">
        <v>41.5</v>
      </c>
      <c r="E3" s="269">
        <v>41.9717543859649</v>
      </c>
      <c r="F3" s="265">
        <f>E3-D3</f>
        <v>0.47175438596489983</v>
      </c>
      <c r="G3" s="169">
        <v>1</v>
      </c>
      <c r="H3" s="169">
        <v>59</v>
      </c>
    </row>
    <row r="4" spans="1:8" ht="15.75">
      <c r="A4" s="70">
        <v>2</v>
      </c>
      <c r="B4" s="264" t="s">
        <v>23</v>
      </c>
      <c r="C4" s="169" t="s">
        <v>81</v>
      </c>
      <c r="D4" s="269">
        <v>41.52</v>
      </c>
      <c r="E4" s="269">
        <v>41.938382352941169</v>
      </c>
      <c r="F4" s="265">
        <f>E4-D4</f>
        <v>0.41838235294116544</v>
      </c>
      <c r="G4" s="169">
        <v>1</v>
      </c>
      <c r="H4" s="266">
        <v>69</v>
      </c>
    </row>
    <row r="5" spans="1:8" ht="15.75">
      <c r="A5" s="70">
        <v>3</v>
      </c>
      <c r="B5" s="264" t="s">
        <v>20</v>
      </c>
      <c r="C5" s="169" t="s">
        <v>89</v>
      </c>
      <c r="D5" s="269">
        <v>41.71</v>
      </c>
      <c r="E5" s="269">
        <v>42.109782608695653</v>
      </c>
      <c r="F5" s="265">
        <f>E5-D5</f>
        <v>0.39978260869565219</v>
      </c>
      <c r="G5" s="169">
        <v>1</v>
      </c>
      <c r="H5" s="169">
        <v>47</v>
      </c>
    </row>
    <row r="6" spans="1:8" ht="15.75">
      <c r="A6" s="70">
        <v>4</v>
      </c>
      <c r="B6" s="264" t="s">
        <v>26</v>
      </c>
      <c r="C6" s="169" t="s">
        <v>88</v>
      </c>
      <c r="D6" s="269">
        <v>41.74</v>
      </c>
      <c r="E6" s="269">
        <v>42.455882352941174</v>
      </c>
      <c r="F6" s="265">
        <f>E6-D6</f>
        <v>0.71588235294117197</v>
      </c>
      <c r="G6" s="169">
        <v>1</v>
      </c>
      <c r="H6" s="169">
        <v>52</v>
      </c>
    </row>
    <row r="7" spans="1:8" ht="15.75">
      <c r="A7" s="70">
        <v>5</v>
      </c>
      <c r="B7" s="264" t="s">
        <v>108</v>
      </c>
      <c r="C7" s="169" t="s">
        <v>153</v>
      </c>
      <c r="D7" s="269">
        <v>41.54</v>
      </c>
      <c r="E7" s="269">
        <v>41.919705882352943</v>
      </c>
      <c r="F7" s="265">
        <f>E7-D7</f>
        <v>0.379705882352944</v>
      </c>
      <c r="G7" s="169">
        <v>2</v>
      </c>
      <c r="H7" s="169">
        <v>69</v>
      </c>
    </row>
    <row r="8" spans="1:8" ht="15.75">
      <c r="A8" s="70">
        <v>6</v>
      </c>
      <c r="B8" s="264" t="s">
        <v>22</v>
      </c>
      <c r="C8" s="169" t="s">
        <v>17</v>
      </c>
      <c r="D8" s="269">
        <v>41.64</v>
      </c>
      <c r="E8" s="269">
        <v>42.017755102040816</v>
      </c>
      <c r="F8" s="265">
        <f>E8-D8</f>
        <v>0.37775510204081542</v>
      </c>
      <c r="G8" s="169">
        <v>2</v>
      </c>
      <c r="H8" s="169">
        <v>50</v>
      </c>
    </row>
    <row r="9" spans="1:8" ht="15.75">
      <c r="A9" s="70">
        <v>7</v>
      </c>
      <c r="B9" s="264" t="s">
        <v>23</v>
      </c>
      <c r="C9" s="169" t="s">
        <v>81</v>
      </c>
      <c r="D9" s="269">
        <v>41.7</v>
      </c>
      <c r="E9" s="269">
        <v>42.022173913043488</v>
      </c>
      <c r="F9" s="265">
        <f>E9-D9</f>
        <v>0.32217391304348553</v>
      </c>
      <c r="G9" s="169">
        <v>2</v>
      </c>
      <c r="H9" s="266">
        <v>47</v>
      </c>
    </row>
    <row r="10" spans="1:8" ht="15.75">
      <c r="A10" s="70">
        <v>8</v>
      </c>
      <c r="B10" s="264" t="s">
        <v>67</v>
      </c>
      <c r="C10" s="169" t="s">
        <v>18</v>
      </c>
      <c r="D10" s="269">
        <v>41.98</v>
      </c>
      <c r="E10" s="269">
        <v>42.482258064516131</v>
      </c>
      <c r="F10" s="265">
        <f>E10-D10</f>
        <v>0.50225806451613408</v>
      </c>
      <c r="G10" s="169">
        <v>2</v>
      </c>
      <c r="H10" s="169">
        <v>33</v>
      </c>
    </row>
    <row r="11" spans="1:8" ht="15.75">
      <c r="A11" s="70">
        <v>9</v>
      </c>
      <c r="B11" s="264" t="s">
        <v>23</v>
      </c>
      <c r="C11" s="169" t="s">
        <v>81</v>
      </c>
      <c r="D11" s="269">
        <v>41.62</v>
      </c>
      <c r="E11" s="269">
        <v>41.895925925925923</v>
      </c>
      <c r="F11" s="265">
        <f>E11-D11</f>
        <v>0.27592592592592524</v>
      </c>
      <c r="G11" s="169">
        <v>3</v>
      </c>
      <c r="H11" s="266">
        <v>28</v>
      </c>
    </row>
    <row r="12" spans="1:8" ht="15.75">
      <c r="A12" s="70">
        <v>10</v>
      </c>
      <c r="B12" s="264" t="s">
        <v>25</v>
      </c>
      <c r="C12" s="169" t="s">
        <v>88</v>
      </c>
      <c r="D12" s="269">
        <v>41.75</v>
      </c>
      <c r="E12" s="269">
        <v>42.04948717948718</v>
      </c>
      <c r="F12" s="265">
        <f>E12-D12</f>
        <v>0.29948717948717984</v>
      </c>
      <c r="G12" s="169">
        <v>3</v>
      </c>
      <c r="H12" s="169">
        <v>40</v>
      </c>
    </row>
    <row r="13" spans="1:8" ht="15.75">
      <c r="A13" s="70">
        <v>11</v>
      </c>
      <c r="B13" s="264" t="s">
        <v>66</v>
      </c>
      <c r="C13" s="169" t="s">
        <v>18</v>
      </c>
      <c r="D13" s="269">
        <v>41.86</v>
      </c>
      <c r="E13" s="269">
        <v>42.346271186440688</v>
      </c>
      <c r="F13" s="265">
        <f>E13-D13</f>
        <v>0.48627118644068901</v>
      </c>
      <c r="G13" s="169">
        <v>3</v>
      </c>
      <c r="H13" s="169">
        <v>60</v>
      </c>
    </row>
    <row r="14" spans="1:8" ht="15.75">
      <c r="A14" s="70">
        <v>12</v>
      </c>
      <c r="B14" s="264" t="s">
        <v>26</v>
      </c>
      <c r="C14" s="169" t="s">
        <v>88</v>
      </c>
      <c r="D14" s="269">
        <v>41.87</v>
      </c>
      <c r="E14" s="269">
        <v>42.247272727272723</v>
      </c>
      <c r="F14" s="265">
        <f>E14-D14</f>
        <v>0.37727272727272521</v>
      </c>
      <c r="G14" s="169">
        <v>3</v>
      </c>
      <c r="H14" s="169">
        <v>34</v>
      </c>
    </row>
    <row r="15" spans="1:8" ht="15.75">
      <c r="A15" s="70">
        <v>13</v>
      </c>
      <c r="B15" s="264" t="s">
        <v>110</v>
      </c>
      <c r="C15" s="169" t="s">
        <v>152</v>
      </c>
      <c r="D15" s="269">
        <v>41.95</v>
      </c>
      <c r="E15" s="269">
        <v>42.233658536585367</v>
      </c>
      <c r="F15" s="265">
        <f>E15-D15</f>
        <v>0.28365853658536366</v>
      </c>
      <c r="G15" s="169">
        <v>3</v>
      </c>
      <c r="H15" s="169">
        <v>42</v>
      </c>
    </row>
    <row r="16" spans="1:8" ht="15.75">
      <c r="A16" s="70">
        <v>14</v>
      </c>
      <c r="B16" s="264" t="s">
        <v>16</v>
      </c>
      <c r="C16" s="169" t="s">
        <v>17</v>
      </c>
      <c r="D16" s="269">
        <v>41.98</v>
      </c>
      <c r="E16" s="269">
        <v>42.509552238805945</v>
      </c>
      <c r="F16" s="265">
        <f>E16-D16</f>
        <v>0.52955223880594815</v>
      </c>
      <c r="G16" s="169">
        <v>5</v>
      </c>
      <c r="H16" s="169">
        <v>68</v>
      </c>
    </row>
    <row r="17" spans="1:8" ht="15.75">
      <c r="A17" s="70">
        <v>15</v>
      </c>
      <c r="B17" s="264" t="s">
        <v>24</v>
      </c>
      <c r="C17" s="169" t="s">
        <v>81</v>
      </c>
      <c r="D17" s="269">
        <v>42.01</v>
      </c>
      <c r="E17" s="269">
        <v>42.510227272727271</v>
      </c>
      <c r="F17" s="265">
        <f>E17-D17</f>
        <v>0.50022727272727252</v>
      </c>
      <c r="G17" s="169">
        <v>5</v>
      </c>
      <c r="H17" s="266">
        <v>45</v>
      </c>
    </row>
    <row r="18" spans="1:8" ht="15.75">
      <c r="A18" s="70">
        <v>16</v>
      </c>
      <c r="B18" s="264" t="s">
        <v>25</v>
      </c>
      <c r="C18" s="169" t="s">
        <v>88</v>
      </c>
      <c r="D18" s="269">
        <v>42.32</v>
      </c>
      <c r="E18" s="269">
        <v>42.668809523809514</v>
      </c>
      <c r="F18" s="265">
        <f>E18-D18</f>
        <v>0.34880952380951413</v>
      </c>
      <c r="G18" s="169">
        <v>5</v>
      </c>
      <c r="H18" s="169">
        <v>44</v>
      </c>
    </row>
    <row r="19" spans="1:8" ht="15.75">
      <c r="A19" s="70">
        <v>17</v>
      </c>
      <c r="B19" s="264" t="s">
        <v>67</v>
      </c>
      <c r="C19" s="169" t="s">
        <v>18</v>
      </c>
      <c r="D19" s="269">
        <v>42.5</v>
      </c>
      <c r="E19" s="269">
        <v>43.24</v>
      </c>
      <c r="F19" s="265">
        <f>E19-D19</f>
        <v>0.74000000000000199</v>
      </c>
      <c r="G19" s="169">
        <v>5</v>
      </c>
      <c r="H19" s="169">
        <v>24</v>
      </c>
    </row>
    <row r="20" spans="1:8" ht="15.75">
      <c r="A20" s="70">
        <v>18</v>
      </c>
      <c r="B20" s="264" t="s">
        <v>23</v>
      </c>
      <c r="C20" s="169" t="s">
        <v>81</v>
      </c>
      <c r="D20" s="269">
        <v>41.72</v>
      </c>
      <c r="E20" s="269">
        <v>41.971818181818172</v>
      </c>
      <c r="F20" s="265">
        <f>E20-D20</f>
        <v>0.25181818181817306</v>
      </c>
      <c r="G20" s="169">
        <v>7</v>
      </c>
      <c r="H20" s="266">
        <v>34</v>
      </c>
    </row>
    <row r="21" spans="1:8" ht="15.75">
      <c r="A21" s="70">
        <v>19</v>
      </c>
      <c r="B21" s="264" t="s">
        <v>107</v>
      </c>
      <c r="C21" s="169" t="s">
        <v>153</v>
      </c>
      <c r="D21" s="269">
        <v>41.75</v>
      </c>
      <c r="E21" s="269">
        <v>42.0903448275862</v>
      </c>
      <c r="F21" s="265">
        <f>E21-D21</f>
        <v>0.34034482758620044</v>
      </c>
      <c r="G21" s="169">
        <v>7</v>
      </c>
      <c r="H21" s="169">
        <v>30</v>
      </c>
    </row>
    <row r="22" spans="1:8" ht="15.75">
      <c r="A22" s="70">
        <v>20</v>
      </c>
      <c r="B22" s="267" t="s">
        <v>107</v>
      </c>
      <c r="C22" s="169" t="s">
        <v>153</v>
      </c>
      <c r="D22" s="269">
        <v>41.83</v>
      </c>
      <c r="E22" s="269">
        <v>42.192765957446809</v>
      </c>
      <c r="F22" s="265">
        <f>E22-D22</f>
        <v>0.36276595744681117</v>
      </c>
      <c r="G22" s="169">
        <v>7</v>
      </c>
      <c r="H22" s="169">
        <v>48</v>
      </c>
    </row>
    <row r="23" spans="1:8" ht="15.75">
      <c r="A23" s="70">
        <v>21</v>
      </c>
      <c r="B23" s="264" t="s">
        <v>107</v>
      </c>
      <c r="C23" s="169" t="s">
        <v>153</v>
      </c>
      <c r="D23" s="269">
        <v>41.98</v>
      </c>
      <c r="E23" s="269">
        <v>42.292608695652184</v>
      </c>
      <c r="F23" s="265">
        <f>E23-D23</f>
        <v>0.31260869565218741</v>
      </c>
      <c r="G23" s="169">
        <v>7</v>
      </c>
      <c r="H23" s="169">
        <v>70</v>
      </c>
    </row>
    <row r="24" spans="1:8" ht="15.75">
      <c r="A24" s="70">
        <v>22</v>
      </c>
      <c r="B24" s="264" t="s">
        <v>21</v>
      </c>
      <c r="C24" s="169" t="s">
        <v>89</v>
      </c>
      <c r="D24" s="269">
        <v>41.99</v>
      </c>
      <c r="E24" s="269">
        <v>42.332149253731338</v>
      </c>
      <c r="F24" s="265">
        <f>E24-D24</f>
        <v>0.34214925373133553</v>
      </c>
      <c r="G24" s="169">
        <v>7</v>
      </c>
      <c r="H24" s="169">
        <v>68</v>
      </c>
    </row>
    <row r="25" spans="1:8" ht="15.75">
      <c r="A25" s="70">
        <v>23</v>
      </c>
      <c r="B25" s="264" t="s">
        <v>19</v>
      </c>
      <c r="C25" s="169" t="s">
        <v>152</v>
      </c>
      <c r="D25" s="269">
        <v>41.61</v>
      </c>
      <c r="E25" s="269">
        <v>41.98477611940298</v>
      </c>
      <c r="F25" s="265">
        <f>E25-D25</f>
        <v>0.37477611940298061</v>
      </c>
      <c r="G25" s="169">
        <v>9</v>
      </c>
      <c r="H25" s="169">
        <v>68</v>
      </c>
    </row>
    <row r="26" spans="1:8" ht="15.75">
      <c r="A26" s="70">
        <v>24</v>
      </c>
      <c r="B26" s="264" t="s">
        <v>108</v>
      </c>
      <c r="C26" s="169" t="s">
        <v>153</v>
      </c>
      <c r="D26" s="269">
        <v>41.7</v>
      </c>
      <c r="E26" s="269">
        <v>41.972500000000011</v>
      </c>
      <c r="F26" s="265">
        <f>E26-D26</f>
        <v>0.27250000000000796</v>
      </c>
      <c r="G26" s="169">
        <v>9</v>
      </c>
      <c r="H26" s="169">
        <v>21</v>
      </c>
    </row>
    <row r="27" spans="1:8" ht="15.75">
      <c r="A27" s="70">
        <v>25</v>
      </c>
      <c r="B27" s="264" t="s">
        <v>19</v>
      </c>
      <c r="C27" s="169" t="s">
        <v>152</v>
      </c>
      <c r="D27" s="269">
        <v>41.9</v>
      </c>
      <c r="E27" s="269">
        <v>42.211999999999989</v>
      </c>
      <c r="F27" s="265">
        <f>E27-D27</f>
        <v>0.31199999999999051</v>
      </c>
      <c r="G27" s="169">
        <v>9</v>
      </c>
      <c r="H27" s="169">
        <v>22</v>
      </c>
    </row>
    <row r="28" spans="1:8" ht="15.75">
      <c r="A28" s="70">
        <v>26</v>
      </c>
      <c r="B28" s="264" t="s">
        <v>25</v>
      </c>
      <c r="C28" s="169" t="s">
        <v>88</v>
      </c>
      <c r="D28" s="269">
        <v>41.96</v>
      </c>
      <c r="E28" s="269">
        <v>42.258382352941183</v>
      </c>
      <c r="F28" s="265">
        <f>E28-D28</f>
        <v>0.29838235294118221</v>
      </c>
      <c r="G28" s="169">
        <v>9</v>
      </c>
      <c r="H28" s="169">
        <v>69</v>
      </c>
    </row>
    <row r="29" spans="1:8" ht="15.75">
      <c r="A29" s="70">
        <v>27</v>
      </c>
      <c r="B29" s="264" t="s">
        <v>66</v>
      </c>
      <c r="C29" s="169" t="s">
        <v>18</v>
      </c>
      <c r="D29" s="269">
        <v>42.02</v>
      </c>
      <c r="E29" s="269">
        <v>42.694166666666661</v>
      </c>
      <c r="F29" s="265">
        <f>E29-D29</f>
        <v>0.67416666666665748</v>
      </c>
      <c r="G29" s="169">
        <v>9</v>
      </c>
      <c r="H29" s="169">
        <v>25</v>
      </c>
    </row>
    <row r="30" spans="1:8" ht="15.75">
      <c r="A30" s="70">
        <v>28</v>
      </c>
      <c r="B30" s="264" t="s">
        <v>109</v>
      </c>
      <c r="C30" s="169" t="s">
        <v>69</v>
      </c>
      <c r="D30" s="269">
        <v>42.41</v>
      </c>
      <c r="E30" s="269">
        <v>42.82224999999999</v>
      </c>
      <c r="F30" s="265">
        <f>E30-D30</f>
        <v>0.41224999999999312</v>
      </c>
      <c r="G30" s="169">
        <v>9</v>
      </c>
      <c r="H30" s="169">
        <v>41</v>
      </c>
    </row>
    <row r="31" spans="1:8" ht="15.75">
      <c r="A31" s="70">
        <v>29</v>
      </c>
      <c r="B31" s="264" t="s">
        <v>108</v>
      </c>
      <c r="C31" s="169" t="s">
        <v>153</v>
      </c>
      <c r="D31" s="269">
        <v>42.01</v>
      </c>
      <c r="E31" s="269">
        <v>42.254999999999995</v>
      </c>
      <c r="F31" s="265">
        <f>E31-D31</f>
        <v>0.24499999999999744</v>
      </c>
      <c r="G31" s="169">
        <v>11</v>
      </c>
      <c r="H31" s="169">
        <v>21</v>
      </c>
    </row>
    <row r="32" spans="1:8" ht="15.75">
      <c r="A32" s="70">
        <v>30</v>
      </c>
      <c r="B32" s="267" t="s">
        <v>108</v>
      </c>
      <c r="C32" s="169" t="s">
        <v>153</v>
      </c>
      <c r="D32" s="269">
        <v>42.2</v>
      </c>
      <c r="E32" s="269">
        <v>42.42446808510639</v>
      </c>
      <c r="F32" s="265">
        <f>E32-D32</f>
        <v>0.2244680851063876</v>
      </c>
      <c r="G32" s="169">
        <v>11</v>
      </c>
      <c r="H32" s="169">
        <v>49</v>
      </c>
    </row>
    <row r="33" spans="1:8" ht="15.75">
      <c r="A33" s="70">
        <v>31</v>
      </c>
      <c r="B33" s="264" t="s">
        <v>66</v>
      </c>
      <c r="C33" s="169" t="s">
        <v>18</v>
      </c>
      <c r="D33" s="269">
        <v>42.28</v>
      </c>
      <c r="E33" s="269">
        <v>42.906382978723386</v>
      </c>
      <c r="F33" s="265">
        <f>E33-D33</f>
        <v>0.62638297872338455</v>
      </c>
      <c r="G33" s="169">
        <v>11</v>
      </c>
      <c r="H33" s="169">
        <v>48</v>
      </c>
    </row>
    <row r="34" spans="1:8" ht="15.75">
      <c r="A34" s="70">
        <v>32</v>
      </c>
      <c r="B34" s="264" t="s">
        <v>26</v>
      </c>
      <c r="C34" s="169" t="s">
        <v>88</v>
      </c>
      <c r="D34" s="269">
        <v>42.39</v>
      </c>
      <c r="E34" s="269">
        <v>42.824374999999996</v>
      </c>
      <c r="F34" s="265">
        <f>E34-D34</f>
        <v>0.43437499999999574</v>
      </c>
      <c r="G34" s="169">
        <v>11</v>
      </c>
      <c r="H34" s="169">
        <v>33</v>
      </c>
    </row>
    <row r="35" spans="1:8" ht="15.75">
      <c r="A35" s="70">
        <v>33</v>
      </c>
      <c r="B35" s="264" t="s">
        <v>109</v>
      </c>
      <c r="C35" s="169" t="s">
        <v>69</v>
      </c>
      <c r="D35" s="269">
        <v>42.64</v>
      </c>
      <c r="E35" s="269">
        <v>43.109444444444449</v>
      </c>
      <c r="F35" s="265">
        <f>E35-D35</f>
        <v>0.46944444444444855</v>
      </c>
      <c r="G35" s="169">
        <v>11</v>
      </c>
      <c r="H35" s="169">
        <v>37</v>
      </c>
    </row>
    <row r="36" spans="1:8" ht="15.75">
      <c r="A36" s="70">
        <v>34</v>
      </c>
      <c r="B36" s="264" t="s">
        <v>19</v>
      </c>
      <c r="C36" s="169" t="s">
        <v>152</v>
      </c>
      <c r="D36" s="269">
        <v>41.89</v>
      </c>
      <c r="E36" s="269">
        <v>42.175714285714292</v>
      </c>
      <c r="F36" s="265">
        <f>E36-D36</f>
        <v>0.2857142857142918</v>
      </c>
      <c r="G36" s="169">
        <v>12</v>
      </c>
      <c r="H36" s="169">
        <v>22</v>
      </c>
    </row>
    <row r="37" spans="1:8" ht="15.75">
      <c r="A37" s="70">
        <v>35</v>
      </c>
      <c r="B37" s="264" t="s">
        <v>24</v>
      </c>
      <c r="C37" s="169" t="s">
        <v>81</v>
      </c>
      <c r="D37" s="269">
        <v>42.07</v>
      </c>
      <c r="E37" s="269">
        <v>42.490652173913048</v>
      </c>
      <c r="F37" s="265">
        <f>E37-D37</f>
        <v>0.42065217391304799</v>
      </c>
      <c r="G37" s="169">
        <v>12</v>
      </c>
      <c r="H37" s="266">
        <v>47</v>
      </c>
    </row>
    <row r="38" spans="1:8" ht="15.75">
      <c r="A38" s="70">
        <v>36</v>
      </c>
      <c r="B38" s="267" t="s">
        <v>107</v>
      </c>
      <c r="C38" s="169" t="s">
        <v>153</v>
      </c>
      <c r="D38" s="269">
        <v>42.45</v>
      </c>
      <c r="E38" s="269">
        <v>42.77578947368422</v>
      </c>
      <c r="F38" s="265">
        <f>E38-D38</f>
        <v>0.32578947368421751</v>
      </c>
      <c r="G38" s="169">
        <v>12</v>
      </c>
      <c r="H38" s="169">
        <v>20</v>
      </c>
    </row>
    <row r="39" spans="1:8" ht="15.75">
      <c r="A39" s="70">
        <v>37</v>
      </c>
      <c r="B39" s="264" t="s">
        <v>70</v>
      </c>
      <c r="C39" s="169" t="s">
        <v>69</v>
      </c>
      <c r="D39" s="269">
        <v>42.59</v>
      </c>
      <c r="E39" s="269">
        <v>43.01</v>
      </c>
      <c r="F39" s="265">
        <f>E39-D39</f>
        <v>0.4199999999999946</v>
      </c>
      <c r="G39" s="169">
        <v>12</v>
      </c>
      <c r="H39" s="169">
        <v>36</v>
      </c>
    </row>
    <row r="40" spans="1:8" ht="15.75">
      <c r="A40" s="70">
        <v>38</v>
      </c>
      <c r="B40" s="264" t="s">
        <v>66</v>
      </c>
      <c r="C40" s="169" t="s">
        <v>18</v>
      </c>
      <c r="D40" s="269">
        <v>42.61</v>
      </c>
      <c r="E40" s="269">
        <v>43.121891891891892</v>
      </c>
      <c r="F40" s="265">
        <f>E40-D40</f>
        <v>0.51189189189189221</v>
      </c>
      <c r="G40" s="310">
        <v>12</v>
      </c>
      <c r="H40" s="169">
        <v>39</v>
      </c>
    </row>
    <row r="41" spans="1:8" ht="15.75">
      <c r="A41" s="70">
        <v>39</v>
      </c>
      <c r="B41" s="264" t="s">
        <v>70</v>
      </c>
      <c r="C41" s="169" t="s">
        <v>69</v>
      </c>
      <c r="D41" s="269">
        <v>42.78</v>
      </c>
      <c r="E41" s="269">
        <v>43.254307692307684</v>
      </c>
      <c r="F41" s="265">
        <f>E41-D41</f>
        <v>0.47430769230768277</v>
      </c>
      <c r="G41" s="169">
        <v>12</v>
      </c>
      <c r="H41" s="169">
        <v>67</v>
      </c>
    </row>
    <row r="42" spans="1:8" ht="15.75">
      <c r="A42" s="70">
        <v>40</v>
      </c>
      <c r="B42" s="264" t="s">
        <v>21</v>
      </c>
      <c r="C42" s="169" t="s">
        <v>89</v>
      </c>
      <c r="D42" s="269">
        <v>41.93</v>
      </c>
      <c r="E42" s="269">
        <v>42.5075</v>
      </c>
      <c r="F42" s="265">
        <f>E42-D42</f>
        <v>0.57750000000000057</v>
      </c>
      <c r="G42" s="169">
        <v>13</v>
      </c>
      <c r="H42" s="169">
        <v>25</v>
      </c>
    </row>
    <row r="43" spans="1:8" ht="15.75">
      <c r="A43" s="70">
        <v>41</v>
      </c>
      <c r="B43" s="264" t="s">
        <v>16</v>
      </c>
      <c r="C43" s="169" t="s">
        <v>17</v>
      </c>
      <c r="D43" s="269">
        <v>41.96</v>
      </c>
      <c r="E43" s="269">
        <v>42.167666666666669</v>
      </c>
      <c r="F43" s="265">
        <f>E43-D43</f>
        <v>0.20766666666666822</v>
      </c>
      <c r="G43" s="169">
        <v>13</v>
      </c>
      <c r="H43" s="169">
        <v>31</v>
      </c>
    </row>
    <row r="44" spans="1:8" ht="15.75">
      <c r="A44" s="70">
        <v>42</v>
      </c>
      <c r="B44" s="264" t="s">
        <v>24</v>
      </c>
      <c r="C44" s="169" t="s">
        <v>81</v>
      </c>
      <c r="D44" s="269">
        <v>41.99</v>
      </c>
      <c r="E44" s="269">
        <v>42.23692307692307</v>
      </c>
      <c r="F44" s="265">
        <f>E44-D44</f>
        <v>0.2469230769230677</v>
      </c>
      <c r="G44" s="169">
        <v>13</v>
      </c>
      <c r="H44" s="266">
        <v>27</v>
      </c>
    </row>
    <row r="45" spans="1:8" ht="15.75">
      <c r="A45" s="70">
        <v>43</v>
      </c>
      <c r="B45" s="264" t="s">
        <v>67</v>
      </c>
      <c r="C45" s="169" t="s">
        <v>18</v>
      </c>
      <c r="D45" s="269">
        <v>42.14</v>
      </c>
      <c r="E45" s="269">
        <v>42.668970588235297</v>
      </c>
      <c r="F45" s="265">
        <f>E45-D45</f>
        <v>0.52897058823529619</v>
      </c>
      <c r="G45" s="169">
        <v>13</v>
      </c>
      <c r="H45" s="169">
        <v>69</v>
      </c>
    </row>
    <row r="46" spans="1:8" ht="15.75">
      <c r="A46" s="70">
        <v>44</v>
      </c>
      <c r="B46" s="264" t="s">
        <v>67</v>
      </c>
      <c r="C46" s="169" t="s">
        <v>18</v>
      </c>
      <c r="D46" s="269">
        <v>42.15</v>
      </c>
      <c r="E46" s="269">
        <v>42.687599999999996</v>
      </c>
      <c r="F46" s="265">
        <f>E46-D46</f>
        <v>0.53759999999999764</v>
      </c>
      <c r="G46" s="169">
        <v>13</v>
      </c>
      <c r="H46" s="169">
        <v>26</v>
      </c>
    </row>
    <row r="47" spans="1:8" ht="15.75">
      <c r="A47" s="70">
        <v>45</v>
      </c>
      <c r="B47" s="264" t="s">
        <v>21</v>
      </c>
      <c r="C47" s="169" t="s">
        <v>89</v>
      </c>
      <c r="D47" s="269">
        <v>42.28</v>
      </c>
      <c r="E47" s="269">
        <v>42.57578947368421</v>
      </c>
      <c r="F47" s="265">
        <f>E47-D47</f>
        <v>0.29578947368420927</v>
      </c>
      <c r="G47" s="169">
        <v>13</v>
      </c>
      <c r="H47" s="169">
        <v>20</v>
      </c>
    </row>
    <row r="48" spans="1:8" ht="15.75">
      <c r="A48" s="70">
        <v>46</v>
      </c>
      <c r="B48" s="264" t="s">
        <v>20</v>
      </c>
      <c r="C48" s="169" t="s">
        <v>89</v>
      </c>
      <c r="D48" s="269">
        <v>42.34</v>
      </c>
      <c r="E48" s="269">
        <v>43.171153846153842</v>
      </c>
      <c r="F48" s="265">
        <f>E48-D48</f>
        <v>0.83115384615383903</v>
      </c>
      <c r="G48" s="169">
        <v>13</v>
      </c>
      <c r="H48" s="169">
        <v>27</v>
      </c>
    </row>
    <row r="49" spans="1:8" ht="15.75">
      <c r="A49" s="70">
        <v>47</v>
      </c>
      <c r="B49" s="264" t="s">
        <v>16</v>
      </c>
      <c r="C49" s="169" t="s">
        <v>17</v>
      </c>
      <c r="D49" s="269">
        <v>41.85</v>
      </c>
      <c r="E49" s="269">
        <v>42.20450000000001</v>
      </c>
      <c r="F49" s="265">
        <f>E49-D49</f>
        <v>0.3545000000000087</v>
      </c>
      <c r="G49" s="169">
        <v>14</v>
      </c>
      <c r="H49" s="169">
        <v>21</v>
      </c>
    </row>
    <row r="50" spans="1:8" ht="15.75">
      <c r="A50" s="70">
        <v>48</v>
      </c>
      <c r="B50" s="264" t="s">
        <v>22</v>
      </c>
      <c r="C50" s="169" t="s">
        <v>17</v>
      </c>
      <c r="D50" s="269">
        <v>41.97</v>
      </c>
      <c r="E50" s="269">
        <v>42.304999999999993</v>
      </c>
      <c r="F50" s="265">
        <f>E50-D50</f>
        <v>0.33499999999999375</v>
      </c>
      <c r="G50" s="169">
        <v>14</v>
      </c>
      <c r="H50" s="169">
        <v>59</v>
      </c>
    </row>
    <row r="51" spans="1:8" ht="15.75">
      <c r="A51" s="70">
        <v>49</v>
      </c>
      <c r="B51" s="267" t="s">
        <v>22</v>
      </c>
      <c r="C51" s="169" t="s">
        <v>17</v>
      </c>
      <c r="D51" s="269">
        <v>42.04</v>
      </c>
      <c r="E51" s="269">
        <v>42.405263157894737</v>
      </c>
      <c r="F51" s="265">
        <f>E51-D51</f>
        <v>0.36526315789473784</v>
      </c>
      <c r="G51" s="169">
        <v>14</v>
      </c>
      <c r="H51" s="169">
        <v>20</v>
      </c>
    </row>
    <row r="52" spans="1:8" ht="15.75">
      <c r="A52" s="70">
        <v>50</v>
      </c>
      <c r="B52" s="264" t="s">
        <v>110</v>
      </c>
      <c r="C52" s="169" t="s">
        <v>152</v>
      </c>
      <c r="D52" s="269">
        <v>42.13</v>
      </c>
      <c r="E52" s="269">
        <v>42.388823529411766</v>
      </c>
      <c r="F52" s="265">
        <f>E52-D52</f>
        <v>0.25882352941176379</v>
      </c>
      <c r="G52" s="169">
        <v>14</v>
      </c>
      <c r="H52" s="169">
        <v>35</v>
      </c>
    </row>
    <row r="53" spans="1:8" ht="15.75">
      <c r="A53" s="70">
        <v>51</v>
      </c>
      <c r="B53" s="264" t="s">
        <v>20</v>
      </c>
      <c r="C53" s="169" t="s">
        <v>89</v>
      </c>
      <c r="D53" s="269">
        <v>42.19</v>
      </c>
      <c r="E53" s="269">
        <v>42.546769230769243</v>
      </c>
      <c r="F53" s="265">
        <f>E53-D53</f>
        <v>0.35676923076924538</v>
      </c>
      <c r="G53" s="169">
        <v>14</v>
      </c>
      <c r="H53" s="169">
        <v>66</v>
      </c>
    </row>
    <row r="54" spans="1:8" ht="15.75">
      <c r="A54" s="70">
        <v>52</v>
      </c>
      <c r="B54" s="264" t="s">
        <v>70</v>
      </c>
      <c r="C54" s="169" t="s">
        <v>69</v>
      </c>
      <c r="D54" s="269">
        <v>42.53</v>
      </c>
      <c r="E54" s="269">
        <v>43.041799999999988</v>
      </c>
      <c r="F54" s="265">
        <f>E54-D54</f>
        <v>0.51179999999998671</v>
      </c>
      <c r="G54" s="169">
        <v>14</v>
      </c>
      <c r="H54" s="169">
        <v>51</v>
      </c>
    </row>
    <row r="55" spans="1:8" ht="15.75">
      <c r="A55" s="70">
        <v>53</v>
      </c>
      <c r="B55" s="267" t="s">
        <v>20</v>
      </c>
      <c r="C55" s="169" t="s">
        <v>89</v>
      </c>
      <c r="D55" s="269">
        <v>42.2</v>
      </c>
      <c r="E55" s="269">
        <v>42.575625000000002</v>
      </c>
      <c r="F55" s="265">
        <f>E55-D55</f>
        <v>0.37562499999999943</v>
      </c>
      <c r="G55" s="169">
        <v>15</v>
      </c>
      <c r="H55" s="169">
        <v>18</v>
      </c>
    </row>
    <row r="56" spans="1:8" ht="15.75">
      <c r="A56" s="70">
        <v>54</v>
      </c>
      <c r="B56" s="264" t="s">
        <v>22</v>
      </c>
      <c r="C56" s="169" t="s">
        <v>17</v>
      </c>
      <c r="D56" s="269">
        <v>42.21</v>
      </c>
      <c r="E56" s="269">
        <v>42.497368421052641</v>
      </c>
      <c r="F56" s="265">
        <f>E56-D56</f>
        <v>0.2873684210526406</v>
      </c>
      <c r="G56" s="169">
        <v>15</v>
      </c>
      <c r="H56" s="169">
        <v>20</v>
      </c>
    </row>
    <row r="57" spans="1:8" ht="15.75">
      <c r="A57" s="70">
        <v>55</v>
      </c>
      <c r="B57" s="267" t="s">
        <v>25</v>
      </c>
      <c r="C57" s="169" t="s">
        <v>88</v>
      </c>
      <c r="D57" s="269">
        <v>42.3</v>
      </c>
      <c r="E57" s="269">
        <v>42.911999999999992</v>
      </c>
      <c r="F57" s="265">
        <f>E57-D57</f>
        <v>0.61199999999999477</v>
      </c>
      <c r="G57" s="169">
        <v>15</v>
      </c>
      <c r="H57" s="169">
        <v>21</v>
      </c>
    </row>
    <row r="58" spans="1:8" ht="15.75">
      <c r="A58" s="70">
        <v>56</v>
      </c>
      <c r="B58" s="264" t="s">
        <v>21</v>
      </c>
      <c r="C58" s="169" t="s">
        <v>89</v>
      </c>
      <c r="D58" s="269">
        <v>42.45</v>
      </c>
      <c r="E58" s="269">
        <v>43.080000000000013</v>
      </c>
      <c r="F58" s="265">
        <f>E58-D58</f>
        <v>0.63000000000000966</v>
      </c>
      <c r="G58" s="169">
        <v>15</v>
      </c>
      <c r="H58" s="169">
        <v>54</v>
      </c>
    </row>
    <row r="59" spans="1:8" ht="15.75">
      <c r="A59" s="70">
        <v>57</v>
      </c>
      <c r="B59" s="264" t="s">
        <v>110</v>
      </c>
      <c r="C59" s="169" t="s">
        <v>152</v>
      </c>
      <c r="D59" s="269">
        <v>42.71</v>
      </c>
      <c r="E59" s="269">
        <v>43.071111111111108</v>
      </c>
      <c r="F59" s="265">
        <f>E59-D59</f>
        <v>0.36111111111110716</v>
      </c>
      <c r="G59" s="169">
        <v>15</v>
      </c>
      <c r="H59" s="169">
        <v>19</v>
      </c>
    </row>
    <row r="60" spans="1:8" ht="15.75">
      <c r="A60" s="70">
        <v>58</v>
      </c>
      <c r="B60" s="264" t="s">
        <v>70</v>
      </c>
      <c r="C60" s="169" t="s">
        <v>69</v>
      </c>
      <c r="D60" s="269">
        <v>42.75</v>
      </c>
      <c r="E60" s="269">
        <v>43.372121212121215</v>
      </c>
      <c r="F60" s="265">
        <f>E60-D60</f>
        <v>0.62212121212121474</v>
      </c>
      <c r="G60" s="169">
        <v>15</v>
      </c>
      <c r="H60" s="169">
        <v>34</v>
      </c>
    </row>
    <row r="61" spans="1:8" ht="15.75">
      <c r="A61" s="70">
        <v>59</v>
      </c>
      <c r="B61" s="264" t="s">
        <v>19</v>
      </c>
      <c r="C61" s="169" t="s">
        <v>152</v>
      </c>
      <c r="D61" s="269">
        <v>41.74</v>
      </c>
      <c r="E61" s="269">
        <v>42.092000000000006</v>
      </c>
      <c r="F61" s="265">
        <f>E61-D61</f>
        <v>0.35200000000000387</v>
      </c>
      <c r="G61" s="169">
        <v>21</v>
      </c>
      <c r="H61" s="169">
        <v>66</v>
      </c>
    </row>
    <row r="62" spans="1:8" ht="15.75">
      <c r="A62" s="70">
        <v>60</v>
      </c>
      <c r="B62" s="264" t="s">
        <v>24</v>
      </c>
      <c r="C62" s="169" t="s">
        <v>81</v>
      </c>
      <c r="D62" s="269">
        <v>41.77</v>
      </c>
      <c r="E62" s="269">
        <v>42.15862068965518</v>
      </c>
      <c r="F62" s="265">
        <f>E62-D62</f>
        <v>0.38862068965517693</v>
      </c>
      <c r="G62" s="169">
        <v>21</v>
      </c>
      <c r="H62" s="266">
        <v>31</v>
      </c>
    </row>
    <row r="63" spans="1:8" ht="15.75">
      <c r="A63" s="70">
        <v>61</v>
      </c>
      <c r="B63" s="264" t="s">
        <v>26</v>
      </c>
      <c r="C63" s="169" t="s">
        <v>88</v>
      </c>
      <c r="D63" s="269">
        <v>41.91</v>
      </c>
      <c r="E63" s="269">
        <v>42.330312499999991</v>
      </c>
      <c r="F63" s="265">
        <f>E63-D63</f>
        <v>0.42031249999999432</v>
      </c>
      <c r="G63" s="169">
        <v>21</v>
      </c>
      <c r="H63" s="169">
        <v>33</v>
      </c>
    </row>
    <row r="64" spans="1:8" ht="15.75">
      <c r="A64" s="70">
        <v>62</v>
      </c>
      <c r="B64" s="264" t="s">
        <v>110</v>
      </c>
      <c r="C64" s="169" t="s">
        <v>152</v>
      </c>
      <c r="D64" s="269">
        <v>42</v>
      </c>
      <c r="E64" s="269">
        <v>42.447547169811315</v>
      </c>
      <c r="F64" s="265">
        <f>E64-D64</f>
        <v>0.44754716981131537</v>
      </c>
      <c r="G64" s="169">
        <v>21</v>
      </c>
      <c r="H64" s="169">
        <v>54</v>
      </c>
    </row>
    <row r="65" spans="1:8" ht="15.75">
      <c r="A65" s="70">
        <v>63</v>
      </c>
      <c r="B65" s="264" t="s">
        <v>109</v>
      </c>
      <c r="C65" s="169" t="s">
        <v>69</v>
      </c>
      <c r="D65" s="269">
        <v>42.15</v>
      </c>
      <c r="E65" s="269">
        <v>42.753684210526323</v>
      </c>
      <c r="F65" s="265">
        <f>E65-D65</f>
        <v>0.6036842105263247</v>
      </c>
      <c r="G65" s="310">
        <v>21</v>
      </c>
      <c r="H65" s="169">
        <v>21</v>
      </c>
    </row>
    <row r="66" spans="1:8" ht="15.75">
      <c r="A66" s="70">
        <v>64</v>
      </c>
      <c r="B66" s="264" t="s">
        <v>109</v>
      </c>
      <c r="C66" s="169" t="s">
        <v>69</v>
      </c>
      <c r="D66" s="269">
        <v>42.4</v>
      </c>
      <c r="E66" s="269">
        <v>42.715624999999996</v>
      </c>
      <c r="F66" s="265">
        <f>E66-D66</f>
        <v>0.31562499999999716</v>
      </c>
      <c r="G66" s="169">
        <v>21</v>
      </c>
      <c r="H66" s="169">
        <v>33</v>
      </c>
    </row>
  </sheetData>
  <autoFilter ref="B2:H2">
    <sortState ref="B3:H66">
      <sortCondition ref="G2"/>
    </sortState>
  </autoFilter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14</vt:i4>
      </vt:variant>
    </vt:vector>
  </HeadingPairs>
  <TitlesOfParts>
    <vt:vector size="14" baseType="lpstr">
      <vt:lpstr>Регистрация</vt:lpstr>
      <vt:lpstr>Общие результаты</vt:lpstr>
      <vt:lpstr>Лучшие отрезки</vt:lpstr>
      <vt:lpstr>ЛК по картам</vt:lpstr>
      <vt:lpstr>Выбор картов</vt:lpstr>
      <vt:lpstr>Ну погоди!</vt:lpstr>
      <vt:lpstr>Чпок Тим</vt:lpstr>
      <vt:lpstr>Ай Молодець!</vt:lpstr>
      <vt:lpstr>Финики </vt:lpstr>
      <vt:lpstr>M&amp;M`s</vt:lpstr>
      <vt:lpstr>Mad Snails team</vt:lpstr>
      <vt:lpstr>Бандеровцы </vt:lpstr>
      <vt:lpstr>Незнайки</vt:lpstr>
      <vt:lpstr>Вспомогательный</vt:lpstr>
    </vt:vector>
  </TitlesOfParts>
  <Company>DG Win&amp;Soft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2014-08-11T19:34:49Z</cp:lastPrinted>
  <dcterms:created xsi:type="dcterms:W3CDTF">2012-07-06T15:34:01Z</dcterms:created>
  <dcterms:modified xsi:type="dcterms:W3CDTF">2014-08-11T22:08:32Z</dcterms:modified>
</cp:coreProperties>
</file>