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 activeTab="1"/>
  </bookViews>
  <sheets>
    <sheet name="Регистрация" sheetId="23" r:id="rId1"/>
    <sheet name="Общие результаты" sheetId="24" r:id="rId2"/>
    <sheet name="Финики " sheetId="16" r:id="rId3"/>
    <sheet name="Ну погоди!" sheetId="15" r:id="rId4"/>
    <sheet name="M&amp;M`s" sheetId="19" r:id="rId5"/>
    <sheet name="Ай Молодець!" sheetId="17" r:id="rId6"/>
    <sheet name="ЧП" sheetId="14" r:id="rId7"/>
    <sheet name="Бандеровцы " sheetId="18" r:id="rId8"/>
    <sheet name="Mad Snails team" sheetId="20" r:id="rId9"/>
    <sheet name="Newbie" sheetId="22" r:id="rId10"/>
  </sheets>
  <calcPr calcId="125725"/>
</workbook>
</file>

<file path=xl/calcChain.xml><?xml version="1.0" encoding="utf-8"?>
<calcChain xmlns="http://schemas.openxmlformats.org/spreadsheetml/2006/main">
  <c r="G7" i="24"/>
  <c r="I13"/>
  <c r="I12"/>
  <c r="I11"/>
  <c r="I10"/>
  <c r="I8"/>
  <c r="I7"/>
  <c r="I6"/>
  <c r="F13"/>
  <c r="F12"/>
  <c r="F11"/>
  <c r="F10"/>
  <c r="F9"/>
  <c r="F8"/>
  <c r="F7"/>
  <c r="F6"/>
  <c r="F13" i="17"/>
  <c r="F12"/>
  <c r="L12"/>
  <c r="L13"/>
  <c r="F8"/>
  <c r="F10"/>
  <c r="F14" i="22" l="1"/>
  <c r="F13"/>
  <c r="F12"/>
  <c r="F11"/>
  <c r="F10"/>
  <c r="F9"/>
  <c r="F8"/>
  <c r="L13"/>
  <c r="J14"/>
  <c r="J13"/>
  <c r="H12"/>
  <c r="H13"/>
  <c r="H14"/>
  <c r="F13" i="20"/>
  <c r="F12"/>
  <c r="F11"/>
  <c r="F10"/>
  <c r="F9"/>
  <c r="F8"/>
  <c r="J7"/>
  <c r="F13" i="18"/>
  <c r="F12"/>
  <c r="F11"/>
  <c r="F10"/>
  <c r="F9"/>
  <c r="F8"/>
  <c r="F13" i="14"/>
  <c r="F12"/>
  <c r="F9" i="17"/>
  <c r="F11" i="14"/>
  <c r="F10"/>
  <c r="F9"/>
  <c r="F8"/>
  <c r="F7"/>
  <c r="F11" i="17"/>
  <c r="F13" i="19"/>
  <c r="F12"/>
  <c r="F10"/>
  <c r="F11"/>
  <c r="F9"/>
  <c r="F8"/>
  <c r="F13" i="15"/>
  <c r="F12"/>
  <c r="F11"/>
  <c r="F10"/>
  <c r="F9"/>
  <c r="F8"/>
  <c r="J7"/>
  <c r="J8"/>
  <c r="J9"/>
  <c r="J10"/>
  <c r="J11"/>
  <c r="F13" i="16"/>
  <c r="F12"/>
  <c r="F11"/>
  <c r="F10"/>
  <c r="F9"/>
  <c r="F8"/>
  <c r="H11" i="22" l="1"/>
  <c r="H10"/>
  <c r="H9"/>
  <c r="H8"/>
  <c r="H7"/>
  <c r="H6"/>
  <c r="H13" i="20"/>
  <c r="H12"/>
  <c r="H11"/>
  <c r="H10"/>
  <c r="H9"/>
  <c r="H8"/>
  <c r="H7"/>
  <c r="H6"/>
  <c r="H13" i="18"/>
  <c r="H12"/>
  <c r="H11"/>
  <c r="H10"/>
  <c r="H9"/>
  <c r="H8"/>
  <c r="H7"/>
  <c r="H6"/>
  <c r="H13" i="14"/>
  <c r="H12"/>
  <c r="H11"/>
  <c r="H10"/>
  <c r="H9"/>
  <c r="H8"/>
  <c r="H7"/>
  <c r="H6"/>
  <c r="H13" i="17"/>
  <c r="H12"/>
  <c r="H11"/>
  <c r="H10"/>
  <c r="H9"/>
  <c r="H8"/>
  <c r="H7"/>
  <c r="H6"/>
  <c r="H13" i="19"/>
  <c r="H12"/>
  <c r="H11"/>
  <c r="H10"/>
  <c r="H9"/>
  <c r="H8"/>
  <c r="H7"/>
  <c r="H6"/>
  <c r="H13" i="15"/>
  <c r="H12"/>
  <c r="H11"/>
  <c r="H10"/>
  <c r="H9"/>
  <c r="H8"/>
  <c r="H7"/>
  <c r="H6"/>
  <c r="H13" i="16"/>
  <c r="H12"/>
  <c r="H11"/>
  <c r="H10"/>
  <c r="H9"/>
  <c r="H8"/>
  <c r="H7"/>
  <c r="H6"/>
  <c r="L11" i="22"/>
  <c r="L6"/>
  <c r="J12" i="14"/>
  <c r="L14" i="22"/>
  <c r="L10"/>
  <c r="E15"/>
  <c r="L12"/>
  <c r="J12"/>
  <c r="J11"/>
  <c r="J10"/>
  <c r="J9"/>
  <c r="L9"/>
  <c r="M13" s="1"/>
  <c r="J8"/>
  <c r="L8"/>
  <c r="M14" s="1"/>
  <c r="J7"/>
  <c r="K7" s="1"/>
  <c r="L7"/>
  <c r="J6"/>
  <c r="K6" s="1"/>
  <c r="K8" l="1"/>
  <c r="K10" s="1"/>
  <c r="K12" s="1"/>
  <c r="K14" s="1"/>
  <c r="K9"/>
  <c r="K11"/>
  <c r="K13" s="1"/>
  <c r="F15"/>
  <c r="L13" i="20"/>
  <c r="L12"/>
  <c r="L11"/>
  <c r="L6"/>
  <c r="E14"/>
  <c r="J13"/>
  <c r="J12"/>
  <c r="J11"/>
  <c r="L10"/>
  <c r="J10"/>
  <c r="L9"/>
  <c r="J9"/>
  <c r="J8"/>
  <c r="L7"/>
  <c r="K7"/>
  <c r="J6"/>
  <c r="K6" s="1"/>
  <c r="L13" i="19"/>
  <c r="L12"/>
  <c r="L11"/>
  <c r="L10"/>
  <c r="E14"/>
  <c r="J13"/>
  <c r="J12"/>
  <c r="J11"/>
  <c r="J10"/>
  <c r="L9"/>
  <c r="M12" s="1"/>
  <c r="J9"/>
  <c r="J8"/>
  <c r="K8" s="1"/>
  <c r="L7"/>
  <c r="J7"/>
  <c r="L6"/>
  <c r="J6"/>
  <c r="K6" s="1"/>
  <c r="L13" i="18"/>
  <c r="L12"/>
  <c r="L11"/>
  <c r="L10"/>
  <c r="E14"/>
  <c r="J13"/>
  <c r="J12"/>
  <c r="J11"/>
  <c r="J10"/>
  <c r="L9"/>
  <c r="M13" s="1"/>
  <c r="J9"/>
  <c r="J8"/>
  <c r="J7"/>
  <c r="K7" s="1"/>
  <c r="J6"/>
  <c r="K6" s="1"/>
  <c r="L11" i="17"/>
  <c r="L10"/>
  <c r="L9"/>
  <c r="M13" s="1"/>
  <c r="L8"/>
  <c r="M12" s="1"/>
  <c r="E14"/>
  <c r="J13"/>
  <c r="J12"/>
  <c r="J11"/>
  <c r="J10"/>
  <c r="J9"/>
  <c r="J8"/>
  <c r="K8" s="1"/>
  <c r="J7"/>
  <c r="J6"/>
  <c r="K6" s="1"/>
  <c r="L13" i="16"/>
  <c r="L12"/>
  <c r="L10"/>
  <c r="E14"/>
  <c r="J13"/>
  <c r="J12"/>
  <c r="J11"/>
  <c r="L11"/>
  <c r="J10"/>
  <c r="J9"/>
  <c r="L9"/>
  <c r="J8"/>
  <c r="L8"/>
  <c r="J7"/>
  <c r="K7" s="1"/>
  <c r="J6"/>
  <c r="K6" s="1"/>
  <c r="K7" i="15"/>
  <c r="L13"/>
  <c r="L11"/>
  <c r="F14"/>
  <c r="E14"/>
  <c r="J13"/>
  <c r="J12"/>
  <c r="L12"/>
  <c r="L10"/>
  <c r="L9"/>
  <c r="M12" s="1"/>
  <c r="L8"/>
  <c r="M13" s="1"/>
  <c r="L7"/>
  <c r="J6"/>
  <c r="K6" s="1"/>
  <c r="L12" i="14"/>
  <c r="J13"/>
  <c r="L11"/>
  <c r="L8"/>
  <c r="L7"/>
  <c r="E14"/>
  <c r="L13"/>
  <c r="J11"/>
  <c r="J10"/>
  <c r="L10"/>
  <c r="J9"/>
  <c r="K9" s="1"/>
  <c r="L9"/>
  <c r="J8"/>
  <c r="J7"/>
  <c r="K7" s="1"/>
  <c r="J6"/>
  <c r="K6" s="1"/>
  <c r="K8" l="1"/>
  <c r="K10" s="1"/>
  <c r="K12" s="1"/>
  <c r="K7" i="19"/>
  <c r="M12" i="16"/>
  <c r="M13"/>
  <c r="K9" i="19"/>
  <c r="K11" s="1"/>
  <c r="K12" s="1"/>
  <c r="K10"/>
  <c r="K13" s="1"/>
  <c r="M13" i="20"/>
  <c r="M13" i="14"/>
  <c r="M12"/>
  <c r="K9" i="15"/>
  <c r="K10" s="1"/>
  <c r="K12" s="1"/>
  <c r="K13" s="1"/>
  <c r="K7" i="17"/>
  <c r="K9" s="1"/>
  <c r="K12" s="1"/>
  <c r="K8" i="16"/>
  <c r="K10" s="1"/>
  <c r="K12" s="1"/>
  <c r="K13" s="1"/>
  <c r="K9"/>
  <c r="K11" s="1"/>
  <c r="K10" i="17"/>
  <c r="K11" s="1"/>
  <c r="K13" s="1"/>
  <c r="K8" i="15"/>
  <c r="K11" s="1"/>
  <c r="F14" i="20"/>
  <c r="L8"/>
  <c r="M12" s="1"/>
  <c r="K9"/>
  <c r="K11" s="1"/>
  <c r="K13" s="1"/>
  <c r="K8"/>
  <c r="K10" s="1"/>
  <c r="K12" s="1"/>
  <c r="F14" i="19"/>
  <c r="L8"/>
  <c r="M13" s="1"/>
  <c r="F14" i="18"/>
  <c r="L8"/>
  <c r="M12" s="1"/>
  <c r="K8"/>
  <c r="K10" s="1"/>
  <c r="K12" s="1"/>
  <c r="K9"/>
  <c r="K11" s="1"/>
  <c r="K13" s="1"/>
  <c r="F14" i="17"/>
  <c r="F14" i="16"/>
  <c r="F14" i="14"/>
  <c r="L6" i="15"/>
  <c r="K11" i="14"/>
  <c r="K13" s="1"/>
  <c r="L6"/>
</calcChain>
</file>

<file path=xl/comments1.xml><?xml version="1.0" encoding="utf-8"?>
<comments xmlns="http://schemas.openxmlformats.org/spreadsheetml/2006/main">
  <authors>
    <author>Owner</author>
  </authors>
  <commentList>
    <comment ref="J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5 сек, выдан на последнем пит стопе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J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штрафа нет, поскольку фактический отрезок (а не на момент финиша лидера) был больше 15 минут</t>
        </r>
      </text>
    </comment>
  </commentList>
</comments>
</file>

<file path=xl/sharedStrings.xml><?xml version="1.0" encoding="utf-8"?>
<sst xmlns="http://schemas.openxmlformats.org/spreadsheetml/2006/main" count="335" uniqueCount="108">
  <si>
    <t>всего у пилота</t>
  </si>
  <si>
    <t>отрезок</t>
  </si>
  <si>
    <t>Пилот</t>
  </si>
  <si>
    <t>Команда</t>
  </si>
  <si>
    <t>Контрольная таблица пит стопов команд</t>
  </si>
  <si>
    <t>Карт №</t>
  </si>
  <si>
    <t>КОМАНДА</t>
  </si>
  <si>
    <t>№ пит стопа</t>
  </si>
  <si>
    <t>№</t>
  </si>
  <si>
    <t>№ ком</t>
  </si>
  <si>
    <t>Вес</t>
  </si>
  <si>
    <t>Регистрационная форма</t>
  </si>
  <si>
    <t>Довес</t>
  </si>
  <si>
    <t>Финиш</t>
  </si>
  <si>
    <t>Время на трассе (мин)</t>
  </si>
  <si>
    <t>Бахмацкий Олег</t>
  </si>
  <si>
    <t>Финики</t>
  </si>
  <si>
    <t>Бандеровцы</t>
  </si>
  <si>
    <t>Петушков Андрей</t>
  </si>
  <si>
    <t>Хавило Дима</t>
  </si>
  <si>
    <t>Горошко Игорь</t>
  </si>
  <si>
    <t>Наум</t>
  </si>
  <si>
    <t>Голубченко Саша</t>
  </si>
  <si>
    <t>Манило Денис</t>
  </si>
  <si>
    <t>Пикулин Паша</t>
  </si>
  <si>
    <t>2-1</t>
  </si>
  <si>
    <t>2-2</t>
  </si>
  <si>
    <t>3-1</t>
  </si>
  <si>
    <t>3-2</t>
  </si>
  <si>
    <t>4-1</t>
  </si>
  <si>
    <t>4-2</t>
  </si>
  <si>
    <t>5-1</t>
  </si>
  <si>
    <t>5-2</t>
  </si>
  <si>
    <t>7-1</t>
  </si>
  <si>
    <t>7-2</t>
  </si>
  <si>
    <t>8-1</t>
  </si>
  <si>
    <t>8-2</t>
  </si>
  <si>
    <t>9-1</t>
  </si>
  <si>
    <t>9-2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</si>
  <si>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</si>
  <si>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</si>
  <si>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</si>
  <si>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</si>
  <si>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</si>
  <si>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</si>
  <si>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</si>
  <si>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</si>
  <si>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</si>
  <si>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</si>
  <si>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НУ, ПОГОДИ!</t>
  </si>
  <si>
    <t>ФИНИКИ</t>
  </si>
  <si>
    <t>MED SNAILS TEAM</t>
  </si>
  <si>
    <t>БАНДЕРОВЦЫ</t>
  </si>
  <si>
    <t>2 круга</t>
  </si>
  <si>
    <t>Сред. время круга на отрезке (без пита и поломок)</t>
  </si>
  <si>
    <t>Общее время гонки (на часах)</t>
  </si>
  <si>
    <t>Олег</t>
  </si>
  <si>
    <t>Игорь</t>
  </si>
  <si>
    <t>Андрей</t>
  </si>
  <si>
    <t>Дима</t>
  </si>
  <si>
    <t>M&amp;M`s</t>
  </si>
  <si>
    <t>Саша</t>
  </si>
  <si>
    <t>Денис</t>
  </si>
  <si>
    <t>Пикулин Павел</t>
  </si>
  <si>
    <t>Ткаченко Сергей</t>
  </si>
  <si>
    <t>НЛО</t>
  </si>
  <si>
    <t>MST</t>
  </si>
  <si>
    <t>НЕЗНАЙКИ</t>
  </si>
  <si>
    <t>Микс</t>
  </si>
  <si>
    <t>Сергей</t>
  </si>
  <si>
    <t>Марафон "Сорвиголовы 2014", 22.06.14</t>
  </si>
  <si>
    <t>Лучший круг</t>
  </si>
  <si>
    <t>Круг заезда на пит</t>
  </si>
  <si>
    <t>Кругов на отрезке</t>
  </si>
  <si>
    <t>Стабильность пилота</t>
  </si>
  <si>
    <t>на отрезке</t>
  </si>
  <si>
    <t>в гонке</t>
  </si>
  <si>
    <t>Ну, Погоди!</t>
  </si>
  <si>
    <t>в дождь</t>
  </si>
  <si>
    <t>Марафон-чемпионат "Сорвиголовы 2014", 3-й этап</t>
  </si>
  <si>
    <t>Ай молодець!</t>
  </si>
  <si>
    <t>Стецык Сергей</t>
  </si>
  <si>
    <t>Дио</t>
  </si>
  <si>
    <t>Курош</t>
  </si>
  <si>
    <t>Григорьев Гена</t>
  </si>
  <si>
    <t>Ну Погоди</t>
  </si>
  <si>
    <t>Newbie</t>
  </si>
  <si>
    <t>ЧП</t>
  </si>
  <si>
    <t>Члечко Сергей</t>
  </si>
  <si>
    <t>Полупан Вова</t>
  </si>
  <si>
    <t>Чухаленко Дима</t>
  </si>
  <si>
    <t>10-1</t>
  </si>
  <si>
    <t>10-2</t>
  </si>
  <si>
    <t>NEWSBIE</t>
  </si>
  <si>
    <t>3 круга</t>
  </si>
  <si>
    <t>4 круга</t>
  </si>
  <si>
    <t>6 кругов</t>
  </si>
  <si>
    <t>10 кругов</t>
  </si>
  <si>
    <t>13/12</t>
  </si>
  <si>
    <t>Вова</t>
  </si>
  <si>
    <t>7/3</t>
  </si>
  <si>
    <t>14/4</t>
  </si>
  <si>
    <t>Павел</t>
  </si>
  <si>
    <t>Гена</t>
  </si>
  <si>
    <t>АЙ, МОЛОДЕЦЬ!</t>
  </si>
  <si>
    <t>РЕЗУЛЬТАТЫ марафона "Сорвиголовы 2014", 3-й этап, 19-20.07.14</t>
  </si>
  <si>
    <t>Конфигурация №8</t>
  </si>
  <si>
    <t>4:00:27.00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</si>
</sst>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[$-F400]h:mm:ss\ AM/PM"/>
  </numFmts>
  <fonts count="25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2" fillId="2" borderId="14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/>
    <xf numFmtId="164" fontId="0" fillId="0" borderId="1" xfId="0" applyNumberForma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/>
    <xf numFmtId="0" fontId="17" fillId="0" borderId="26" xfId="0" applyFont="1" applyBorder="1" applyAlignment="1">
      <alignment vertical="center"/>
    </xf>
    <xf numFmtId="49" fontId="17" fillId="0" borderId="39" xfId="0" applyNumberFormat="1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49" fontId="17" fillId="0" borderId="18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49" fontId="17" fillId="0" borderId="19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7" fillId="0" borderId="38" xfId="0" applyFont="1" applyBorder="1" applyAlignment="1">
      <alignment vertical="center"/>
    </xf>
    <xf numFmtId="49" fontId="17" fillId="0" borderId="40" xfId="0" applyNumberFormat="1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165" fontId="2" fillId="2" borderId="1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15" fillId="0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20" fillId="0" borderId="48" xfId="0" applyNumberFormat="1" applyFont="1" applyBorder="1" applyAlignment="1">
      <alignment horizontal="center" vertical="center"/>
    </xf>
    <xf numFmtId="164" fontId="20" fillId="0" borderId="49" xfId="0" applyNumberFormat="1" applyFon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0" borderId="53" xfId="0" applyBorder="1" applyAlignment="1">
      <alignment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39" xfId="0" applyNumberFormat="1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4" fillId="0" borderId="40" xfId="0" applyNumberFormat="1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49" fontId="24" fillId="0" borderId="19" xfId="0" applyNumberFormat="1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5" fontId="2" fillId="8" borderId="14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64" fontId="0" fillId="9" borderId="3" xfId="0" applyNumberForma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1" fillId="0" borderId="43" xfId="0" applyFon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2" fontId="14" fillId="7" borderId="43" xfId="0" applyNumberFormat="1" applyFon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2" fontId="19" fillId="0" borderId="44" xfId="0" applyNumberFormat="1" applyFont="1" applyFill="1" applyBorder="1" applyAlignment="1">
      <alignment horizontal="center" vertical="center"/>
    </xf>
    <xf numFmtId="2" fontId="21" fillId="0" borderId="43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2" borderId="2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 textRotation="90" wrapText="1"/>
    </xf>
    <xf numFmtId="0" fontId="17" fillId="0" borderId="15" xfId="0" applyFont="1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textRotation="90"/>
    </xf>
    <xf numFmtId="0" fontId="8" fillId="0" borderId="20" xfId="0" applyFont="1" applyFill="1" applyBorder="1" applyAlignment="1">
      <alignment horizontal="center" textRotation="90"/>
    </xf>
    <xf numFmtId="0" fontId="0" fillId="0" borderId="6" xfId="0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 textRotation="90" wrapText="1"/>
    </xf>
    <xf numFmtId="0" fontId="17" fillId="0" borderId="14" xfId="0" applyFont="1" applyFill="1" applyBorder="1" applyAlignment="1">
      <alignment horizontal="center" vertical="center" textRotation="90" wrapText="1"/>
    </xf>
    <xf numFmtId="0" fontId="17" fillId="0" borderId="25" xfId="0" applyFont="1" applyFill="1" applyBorder="1" applyAlignment="1">
      <alignment horizontal="center" vertical="center" textRotation="90"/>
    </xf>
    <xf numFmtId="0" fontId="17" fillId="0" borderId="14" xfId="0" applyFont="1" applyFill="1" applyBorder="1" applyAlignment="1">
      <alignment horizontal="center" vertical="center" textRotation="90"/>
    </xf>
    <xf numFmtId="0" fontId="17" fillId="0" borderId="24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5" xfId="0" applyFont="1" applyBorder="1" applyAlignment="1">
      <alignment horizontal="center"/>
    </xf>
    <xf numFmtId="0" fontId="18" fillId="0" borderId="26" xfId="0" applyFont="1" applyBorder="1" applyAlignment="1">
      <alignment horizontal="center" vertical="center" textRotation="90"/>
    </xf>
    <xf numFmtId="0" fontId="18" fillId="0" borderId="16" xfId="0" applyFont="1" applyBorder="1" applyAlignment="1">
      <alignment horizontal="center" vertical="center" textRotation="90"/>
    </xf>
    <xf numFmtId="0" fontId="18" fillId="0" borderId="17" xfId="0" applyFont="1" applyBorder="1" applyAlignment="1">
      <alignment horizontal="center" vertical="center" textRotation="90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49" fontId="17" fillId="0" borderId="34" xfId="0" applyNumberFormat="1" applyFont="1" applyFill="1" applyBorder="1" applyAlignment="1">
      <alignment horizontal="center" vertical="center" textRotation="90" wrapText="1"/>
    </xf>
    <xf numFmtId="49" fontId="17" fillId="0" borderId="7" xfId="0" applyNumberFormat="1" applyFont="1" applyFill="1" applyBorder="1" applyAlignment="1">
      <alignment horizontal="center" vertical="center" textRotation="90" wrapText="1"/>
    </xf>
    <xf numFmtId="164" fontId="2" fillId="10" borderId="18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8A45E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6"/>
  <sheetViews>
    <sheetView zoomScale="75" zoomScaleNormal="75" workbookViewId="0">
      <selection activeCell="C14" sqref="C14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26.25">
      <c r="A1" s="142" t="s">
        <v>79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2" spans="1:13" ht="5.25" customHeight="1"/>
    <row r="3" spans="1:13" ht="19.5" customHeight="1">
      <c r="A3" s="143" t="s">
        <v>11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</row>
    <row r="4" spans="1:13" ht="15.75" customHeight="1" thickBo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s="1" customFormat="1" ht="30" customHeight="1">
      <c r="A5" s="129" t="s">
        <v>9</v>
      </c>
      <c r="B5" s="145" t="s">
        <v>3</v>
      </c>
      <c r="C5" s="147" t="s">
        <v>2</v>
      </c>
      <c r="D5" s="147" t="s">
        <v>8</v>
      </c>
      <c r="E5" s="149" t="s">
        <v>10</v>
      </c>
      <c r="F5" s="151" t="s">
        <v>12</v>
      </c>
      <c r="G5" s="153"/>
      <c r="H5" s="129" t="s">
        <v>9</v>
      </c>
      <c r="I5" s="145" t="s">
        <v>3</v>
      </c>
      <c r="J5" s="147" t="s">
        <v>2</v>
      </c>
      <c r="K5" s="147" t="s">
        <v>8</v>
      </c>
      <c r="L5" s="147" t="s">
        <v>10</v>
      </c>
      <c r="M5" s="156" t="s">
        <v>12</v>
      </c>
    </row>
    <row r="6" spans="1:13" s="1" customFormat="1" ht="30" customHeight="1" thickBot="1">
      <c r="A6" s="144"/>
      <c r="B6" s="146"/>
      <c r="C6" s="148"/>
      <c r="D6" s="148"/>
      <c r="E6" s="150"/>
      <c r="F6" s="152"/>
      <c r="G6" s="154"/>
      <c r="H6" s="144"/>
      <c r="I6" s="146"/>
      <c r="J6" s="148"/>
      <c r="K6" s="148"/>
      <c r="L6" s="148"/>
      <c r="M6" s="157"/>
    </row>
    <row r="7" spans="1:13" s="2" customFormat="1" ht="45.6" hidden="1" customHeight="1">
      <c r="A7" s="129">
        <v>1</v>
      </c>
      <c r="B7" s="131"/>
      <c r="C7" s="43"/>
      <c r="D7" s="44"/>
      <c r="E7" s="45"/>
      <c r="F7" s="46"/>
      <c r="G7" s="154"/>
      <c r="H7" s="129">
        <v>6</v>
      </c>
      <c r="I7" s="141"/>
      <c r="J7" s="43"/>
      <c r="K7" s="44"/>
      <c r="L7" s="45"/>
      <c r="M7" s="47"/>
    </row>
    <row r="8" spans="1:13" s="2" customFormat="1" ht="45.6" hidden="1" customHeight="1" thickBot="1">
      <c r="A8" s="136"/>
      <c r="B8" s="138"/>
      <c r="C8" s="48"/>
      <c r="D8" s="49"/>
      <c r="E8" s="50"/>
      <c r="F8" s="51"/>
      <c r="G8" s="154"/>
      <c r="H8" s="136"/>
      <c r="I8" s="140"/>
      <c r="J8" s="48"/>
      <c r="K8" s="49"/>
      <c r="L8" s="50"/>
      <c r="M8" s="52"/>
    </row>
    <row r="9" spans="1:13" s="2" customFormat="1" ht="45.6" customHeight="1">
      <c r="A9" s="129">
        <v>2</v>
      </c>
      <c r="B9" s="197" t="s">
        <v>80</v>
      </c>
      <c r="C9" s="43" t="s">
        <v>81</v>
      </c>
      <c r="D9" s="44" t="s">
        <v>25</v>
      </c>
      <c r="E9" s="45">
        <v>69</v>
      </c>
      <c r="F9" s="46">
        <v>11</v>
      </c>
      <c r="G9" s="154"/>
      <c r="H9" s="129">
        <v>7</v>
      </c>
      <c r="I9" s="141" t="s">
        <v>87</v>
      </c>
      <c r="J9" s="43" t="s">
        <v>88</v>
      </c>
      <c r="K9" s="44" t="s">
        <v>33</v>
      </c>
      <c r="L9" s="45">
        <v>75</v>
      </c>
      <c r="M9" s="47">
        <v>5</v>
      </c>
    </row>
    <row r="10" spans="1:13" s="2" customFormat="1" ht="45.6" customHeight="1">
      <c r="A10" s="136"/>
      <c r="B10" s="198"/>
      <c r="C10" s="48" t="s">
        <v>82</v>
      </c>
      <c r="D10" s="49" t="s">
        <v>26</v>
      </c>
      <c r="E10" s="50">
        <v>78</v>
      </c>
      <c r="F10" s="51">
        <v>2</v>
      </c>
      <c r="G10" s="154"/>
      <c r="H10" s="136"/>
      <c r="I10" s="140"/>
      <c r="J10" s="48" t="s">
        <v>89</v>
      </c>
      <c r="K10" s="49" t="s">
        <v>34</v>
      </c>
      <c r="L10" s="50">
        <v>72</v>
      </c>
      <c r="M10" s="52">
        <v>8</v>
      </c>
    </row>
    <row r="11" spans="1:13" s="2" customFormat="1" ht="45.6" customHeight="1">
      <c r="A11" s="133">
        <v>3</v>
      </c>
      <c r="B11" s="137" t="s">
        <v>16</v>
      </c>
      <c r="C11" s="57" t="s">
        <v>15</v>
      </c>
      <c r="D11" s="58" t="s">
        <v>27</v>
      </c>
      <c r="E11" s="59">
        <v>80</v>
      </c>
      <c r="F11" s="60" t="s">
        <v>39</v>
      </c>
      <c r="G11" s="154"/>
      <c r="H11" s="133">
        <v>8</v>
      </c>
      <c r="I11" s="139" t="s">
        <v>66</v>
      </c>
      <c r="J11" s="57" t="s">
        <v>18</v>
      </c>
      <c r="K11" s="58" t="s">
        <v>35</v>
      </c>
      <c r="L11" s="59">
        <v>67</v>
      </c>
      <c r="M11" s="61">
        <v>13</v>
      </c>
    </row>
    <row r="12" spans="1:13" s="2" customFormat="1" ht="45.6" customHeight="1" thickBot="1">
      <c r="A12" s="136"/>
      <c r="B12" s="138"/>
      <c r="C12" s="48" t="s">
        <v>19</v>
      </c>
      <c r="D12" s="49" t="s">
        <v>28</v>
      </c>
      <c r="E12" s="50">
        <v>65</v>
      </c>
      <c r="F12" s="51">
        <v>15</v>
      </c>
      <c r="G12" s="154"/>
      <c r="H12" s="136"/>
      <c r="I12" s="140"/>
      <c r="J12" s="48" t="s">
        <v>90</v>
      </c>
      <c r="K12" s="49" t="s">
        <v>36</v>
      </c>
      <c r="L12" s="50">
        <v>90</v>
      </c>
      <c r="M12" s="52" t="s">
        <v>39</v>
      </c>
    </row>
    <row r="13" spans="1:13" s="2" customFormat="1" ht="45.6" customHeight="1">
      <c r="A13" s="133">
        <v>4</v>
      </c>
      <c r="B13" s="137" t="s">
        <v>85</v>
      </c>
      <c r="C13" s="57" t="s">
        <v>20</v>
      </c>
      <c r="D13" s="58" t="s">
        <v>29</v>
      </c>
      <c r="E13" s="59">
        <v>80</v>
      </c>
      <c r="F13" s="60" t="s">
        <v>39</v>
      </c>
      <c r="G13" s="154"/>
      <c r="H13" s="129">
        <v>9</v>
      </c>
      <c r="I13" s="141" t="s">
        <v>60</v>
      </c>
      <c r="J13" s="43" t="s">
        <v>22</v>
      </c>
      <c r="K13" s="44" t="s">
        <v>37</v>
      </c>
      <c r="L13" s="45">
        <v>81</v>
      </c>
      <c r="M13" s="47" t="s">
        <v>39</v>
      </c>
    </row>
    <row r="14" spans="1:13" s="2" customFormat="1" ht="45.6" customHeight="1" thickBot="1">
      <c r="A14" s="136"/>
      <c r="B14" s="138"/>
      <c r="C14" s="48" t="s">
        <v>21</v>
      </c>
      <c r="D14" s="49" t="s">
        <v>30</v>
      </c>
      <c r="E14" s="50">
        <v>76</v>
      </c>
      <c r="F14" s="51">
        <v>4</v>
      </c>
      <c r="G14" s="154"/>
      <c r="H14" s="136"/>
      <c r="I14" s="140"/>
      <c r="J14" s="48" t="s">
        <v>23</v>
      </c>
      <c r="K14" s="49" t="s">
        <v>38</v>
      </c>
      <c r="L14" s="50">
        <v>80</v>
      </c>
      <c r="M14" s="52" t="s">
        <v>39</v>
      </c>
    </row>
    <row r="15" spans="1:13" s="2" customFormat="1" ht="45.6" customHeight="1">
      <c r="A15" s="129">
        <v>5</v>
      </c>
      <c r="B15" s="131" t="s">
        <v>86</v>
      </c>
      <c r="C15" s="43" t="s">
        <v>83</v>
      </c>
      <c r="D15" s="44" t="s">
        <v>31</v>
      </c>
      <c r="E15" s="45">
        <v>85</v>
      </c>
      <c r="F15" s="46" t="s">
        <v>39</v>
      </c>
      <c r="G15" s="154"/>
      <c r="H15" s="133">
        <v>10</v>
      </c>
      <c r="I15" s="134" t="s">
        <v>17</v>
      </c>
      <c r="J15" s="57" t="s">
        <v>64</v>
      </c>
      <c r="K15" s="90" t="s">
        <v>91</v>
      </c>
      <c r="L15" s="59">
        <v>77</v>
      </c>
      <c r="M15" s="91">
        <v>3</v>
      </c>
    </row>
    <row r="16" spans="1:13" s="2" customFormat="1" ht="45.6" customHeight="1" thickBot="1">
      <c r="A16" s="130"/>
      <c r="B16" s="132"/>
      <c r="C16" s="53" t="s">
        <v>84</v>
      </c>
      <c r="D16" s="54" t="s">
        <v>32</v>
      </c>
      <c r="E16" s="55">
        <v>65</v>
      </c>
      <c r="F16" s="56">
        <v>15</v>
      </c>
      <c r="G16" s="155"/>
      <c r="H16" s="130"/>
      <c r="I16" s="135"/>
      <c r="J16" s="53" t="s">
        <v>24</v>
      </c>
      <c r="K16" s="92" t="s">
        <v>92</v>
      </c>
      <c r="L16" s="55">
        <v>66</v>
      </c>
      <c r="M16" s="93">
        <v>14</v>
      </c>
    </row>
  </sheetData>
  <mergeCells count="35">
    <mergeCell ref="A1:M1"/>
    <mergeCell ref="A3:M3"/>
    <mergeCell ref="A5:A6"/>
    <mergeCell ref="B5:B6"/>
    <mergeCell ref="C5:C6"/>
    <mergeCell ref="D5:D6"/>
    <mergeCell ref="E5:E6"/>
    <mergeCell ref="F5:F6"/>
    <mergeCell ref="G5:G16"/>
    <mergeCell ref="H5:H6"/>
    <mergeCell ref="I5:I6"/>
    <mergeCell ref="J5:J6"/>
    <mergeCell ref="K5:K6"/>
    <mergeCell ref="L5:L6"/>
    <mergeCell ref="M5:M6"/>
    <mergeCell ref="A9:A10"/>
    <mergeCell ref="B9:B10"/>
    <mergeCell ref="H9:H10"/>
    <mergeCell ref="I9:I10"/>
    <mergeCell ref="A7:A8"/>
    <mergeCell ref="B7:B8"/>
    <mergeCell ref="H7:H8"/>
    <mergeCell ref="I7:I8"/>
    <mergeCell ref="A15:A16"/>
    <mergeCell ref="B15:B16"/>
    <mergeCell ref="H15:H16"/>
    <mergeCell ref="I15:I16"/>
    <mergeCell ref="A11:A12"/>
    <mergeCell ref="B11:B12"/>
    <mergeCell ref="H11:H12"/>
    <mergeCell ref="I11:I12"/>
    <mergeCell ref="A13:A14"/>
    <mergeCell ref="B13:B14"/>
    <mergeCell ref="H13:H14"/>
    <mergeCell ref="I13:I14"/>
  </mergeCells>
  <pageMargins left="0.31496062992125984" right="0.31496062992125984" top="0.15748031496062992" bottom="0.11811023622047245" header="0.31496062992125984" footer="0.31496062992125984"/>
  <pageSetup paperSize="9" scale="86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tabSelected="1" zoomScale="110" zoomScaleNormal="110" workbookViewId="0">
      <selection activeCell="B21" sqref="B21"/>
    </sheetView>
  </sheetViews>
  <sheetFormatPr defaultRowHeight="15"/>
  <cols>
    <col min="1" max="1" width="9.140625" style="39"/>
    <col min="2" max="2" width="19.5703125" style="39" customWidth="1"/>
    <col min="3" max="3" width="7.140625" style="39" customWidth="1"/>
    <col min="4" max="4" width="11.5703125" style="39" customWidth="1"/>
    <col min="5" max="5" width="7" style="39" customWidth="1"/>
    <col min="6" max="6" width="10.42578125" style="39" customWidth="1"/>
    <col min="7" max="7" width="16.7109375" style="39" customWidth="1"/>
    <col min="8" max="8" width="11.140625" style="39" customWidth="1"/>
    <col min="9" max="9" width="9" style="39" customWidth="1"/>
  </cols>
  <sheetData>
    <row r="1" spans="1:9" ht="19.5">
      <c r="A1" s="158" t="s">
        <v>105</v>
      </c>
      <c r="B1" s="158"/>
      <c r="C1" s="158"/>
      <c r="D1" s="158"/>
      <c r="E1" s="158"/>
      <c r="F1" s="158"/>
      <c r="G1" s="158"/>
      <c r="H1" s="158"/>
      <c r="I1" s="158"/>
    </row>
    <row r="2" spans="1:9" ht="17.25">
      <c r="A2" s="159" t="s">
        <v>106</v>
      </c>
      <c r="B2" s="159"/>
      <c r="C2" s="159"/>
      <c r="D2" s="159"/>
      <c r="E2" s="159"/>
      <c r="F2" s="159"/>
      <c r="G2" s="159"/>
      <c r="H2" s="159"/>
      <c r="I2" s="159"/>
    </row>
    <row r="3" spans="1:9" ht="6" customHeight="1" thickBot="1"/>
    <row r="4" spans="1:9" s="2" customFormat="1">
      <c r="A4" s="160" t="s">
        <v>40</v>
      </c>
      <c r="B4" s="162" t="s">
        <v>3</v>
      </c>
      <c r="C4" s="164" t="s">
        <v>41</v>
      </c>
      <c r="D4" s="160" t="s">
        <v>42</v>
      </c>
      <c r="E4" s="156"/>
      <c r="F4" s="166" t="s">
        <v>43</v>
      </c>
      <c r="G4" s="162"/>
      <c r="H4" s="160" t="s">
        <v>44</v>
      </c>
      <c r="I4" s="156"/>
    </row>
    <row r="5" spans="1:9" s="11" customFormat="1" ht="15.75" thickBot="1">
      <c r="A5" s="161"/>
      <c r="B5" s="163"/>
      <c r="C5" s="165"/>
      <c r="D5" s="36" t="s">
        <v>45</v>
      </c>
      <c r="E5" s="10" t="s">
        <v>40</v>
      </c>
      <c r="F5" s="8" t="s">
        <v>46</v>
      </c>
      <c r="G5" s="37" t="s">
        <v>47</v>
      </c>
      <c r="H5" s="36" t="s">
        <v>45</v>
      </c>
      <c r="I5" s="10" t="s">
        <v>48</v>
      </c>
    </row>
    <row r="6" spans="1:9" s="2" customFormat="1" ht="24.95" customHeight="1">
      <c r="A6" s="35">
        <v>1</v>
      </c>
      <c r="B6" s="12" t="s">
        <v>50</v>
      </c>
      <c r="C6" s="34">
        <v>3</v>
      </c>
      <c r="D6" s="40">
        <v>38.79</v>
      </c>
      <c r="E6" s="34">
        <v>1</v>
      </c>
      <c r="F6" s="38">
        <f>82+271</f>
        <v>353</v>
      </c>
      <c r="G6" s="128" t="s">
        <v>107</v>
      </c>
      <c r="H6" s="196">
        <v>38.5</v>
      </c>
      <c r="I6" s="34">
        <f>82+67</f>
        <v>149</v>
      </c>
    </row>
    <row r="7" spans="1:9" s="2" customFormat="1" ht="24.95" customHeight="1">
      <c r="A7" s="4">
        <v>2</v>
      </c>
      <c r="B7" s="13" t="s">
        <v>49</v>
      </c>
      <c r="C7" s="14">
        <v>4</v>
      </c>
      <c r="D7" s="4">
        <v>38.99</v>
      </c>
      <c r="E7" s="14">
        <v>3</v>
      </c>
      <c r="F7" s="7">
        <f>82+271</f>
        <v>353</v>
      </c>
      <c r="G7" s="15">
        <f>28.79</f>
        <v>28.79</v>
      </c>
      <c r="H7" s="40">
        <v>38.450000000000003</v>
      </c>
      <c r="I7" s="14">
        <f>82+191</f>
        <v>273</v>
      </c>
    </row>
    <row r="8" spans="1:9" s="2" customFormat="1" ht="24.95" customHeight="1">
      <c r="A8" s="4">
        <v>3</v>
      </c>
      <c r="B8" s="13" t="s">
        <v>60</v>
      </c>
      <c r="C8" s="14">
        <v>9</v>
      </c>
      <c r="D8" s="4">
        <v>39.119999999999997</v>
      </c>
      <c r="E8" s="14">
        <v>5</v>
      </c>
      <c r="F8" s="7">
        <f>82+269</f>
        <v>351</v>
      </c>
      <c r="G8" s="15" t="s">
        <v>53</v>
      </c>
      <c r="H8" s="16">
        <v>38.53</v>
      </c>
      <c r="I8" s="14">
        <f>82+112</f>
        <v>194</v>
      </c>
    </row>
    <row r="9" spans="1:9" s="2" customFormat="1" ht="24.95" customHeight="1">
      <c r="A9" s="4">
        <v>4</v>
      </c>
      <c r="B9" s="13" t="s">
        <v>104</v>
      </c>
      <c r="C9" s="14">
        <v>2</v>
      </c>
      <c r="D9" s="127">
        <v>38.950000000000003</v>
      </c>
      <c r="E9" s="41">
        <v>2</v>
      </c>
      <c r="F9" s="7">
        <f>82+269</f>
        <v>351</v>
      </c>
      <c r="G9" s="15" t="s">
        <v>53</v>
      </c>
      <c r="H9" s="16">
        <v>38.69</v>
      </c>
      <c r="I9" s="14">
        <v>28</v>
      </c>
    </row>
    <row r="10" spans="1:9" s="2" customFormat="1" ht="24.95" customHeight="1">
      <c r="A10" s="4">
        <v>5</v>
      </c>
      <c r="B10" s="13" t="s">
        <v>87</v>
      </c>
      <c r="C10" s="14">
        <v>7</v>
      </c>
      <c r="D10" s="32">
        <v>39.119999999999997</v>
      </c>
      <c r="E10" s="41">
        <v>4</v>
      </c>
      <c r="F10" s="7">
        <f>82+268</f>
        <v>350</v>
      </c>
      <c r="G10" s="15" t="s">
        <v>94</v>
      </c>
      <c r="H10" s="195">
        <v>38.9</v>
      </c>
      <c r="I10" s="14">
        <f>82+2</f>
        <v>84</v>
      </c>
    </row>
    <row r="11" spans="1:9" s="2" customFormat="1" ht="24.95" customHeight="1">
      <c r="A11" s="4">
        <v>6</v>
      </c>
      <c r="B11" s="13" t="s">
        <v>52</v>
      </c>
      <c r="C11" s="14">
        <v>10</v>
      </c>
      <c r="D11" s="4">
        <v>39.96</v>
      </c>
      <c r="E11" s="14">
        <v>7</v>
      </c>
      <c r="F11" s="7">
        <f>82+267</f>
        <v>349</v>
      </c>
      <c r="G11" s="15" t="s">
        <v>95</v>
      </c>
      <c r="H11" s="4">
        <v>38.89</v>
      </c>
      <c r="I11" s="14">
        <f>82+261</f>
        <v>343</v>
      </c>
    </row>
    <row r="12" spans="1:9" s="2" customFormat="1" ht="24.95" customHeight="1">
      <c r="A12" s="4">
        <v>7</v>
      </c>
      <c r="B12" s="13" t="s">
        <v>51</v>
      </c>
      <c r="C12" s="14">
        <v>8</v>
      </c>
      <c r="D12" s="4">
        <v>39.31</v>
      </c>
      <c r="E12" s="14">
        <v>6</v>
      </c>
      <c r="F12" s="7">
        <f>82+265</f>
        <v>347</v>
      </c>
      <c r="G12" s="15" t="s">
        <v>96</v>
      </c>
      <c r="H12" s="4">
        <v>38.89</v>
      </c>
      <c r="I12" s="14">
        <f>82+75</f>
        <v>157</v>
      </c>
    </row>
    <row r="13" spans="1:9" s="2" customFormat="1" ht="24.95" customHeight="1">
      <c r="A13" s="4">
        <v>8</v>
      </c>
      <c r="B13" s="17" t="s">
        <v>93</v>
      </c>
      <c r="C13" s="18">
        <v>5</v>
      </c>
      <c r="D13" s="5">
        <v>40.04</v>
      </c>
      <c r="E13" s="18">
        <v>8</v>
      </c>
      <c r="F13" s="19">
        <f>82+261</f>
        <v>343</v>
      </c>
      <c r="G13" s="15" t="s">
        <v>97</v>
      </c>
      <c r="H13" s="5">
        <v>38.99</v>
      </c>
      <c r="I13" s="18">
        <f>82+215</f>
        <v>297</v>
      </c>
    </row>
    <row r="16" spans="1:9">
      <c r="A16" s="42"/>
    </row>
  </sheetData>
  <mergeCells count="8">
    <mergeCell ref="A1:I1"/>
    <mergeCell ref="A2:I2"/>
    <mergeCell ref="A4:A5"/>
    <mergeCell ref="B4:B5"/>
    <mergeCell ref="C4:C5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opLeftCell="B1" zoomScale="90" zoomScaleNormal="90" workbookViewId="0">
      <selection activeCell="H24" sqref="H24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14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ht="10.5" customHeight="1"/>
    <row r="3" spans="1:14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4" s="1" customFormat="1" ht="25.5" customHeight="1">
      <c r="A4" s="175" t="s">
        <v>6</v>
      </c>
      <c r="B4" s="177" t="s">
        <v>7</v>
      </c>
      <c r="C4" s="179" t="s">
        <v>2</v>
      </c>
      <c r="D4" s="18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7" t="s">
        <v>14</v>
      </c>
      <c r="K4" s="147"/>
      <c r="L4" s="147" t="s">
        <v>74</v>
      </c>
      <c r="M4" s="167"/>
    </row>
    <row r="5" spans="1:14" s="1" customFormat="1" ht="22.5" customHeight="1" thickBot="1">
      <c r="A5" s="176"/>
      <c r="B5" s="178"/>
      <c r="C5" s="180"/>
      <c r="D5" s="182"/>
      <c r="E5" s="184"/>
      <c r="F5" s="184"/>
      <c r="G5" s="180"/>
      <c r="H5" s="185"/>
      <c r="I5" s="180"/>
      <c r="J5" s="33" t="s">
        <v>1</v>
      </c>
      <c r="K5" s="33" t="s">
        <v>0</v>
      </c>
      <c r="L5" s="74" t="s">
        <v>75</v>
      </c>
      <c r="M5" s="75" t="s">
        <v>76</v>
      </c>
    </row>
    <row r="6" spans="1:14" s="2" customFormat="1" ht="30" customHeight="1">
      <c r="A6" s="170" t="s">
        <v>50</v>
      </c>
      <c r="B6" s="35">
        <v>1</v>
      </c>
      <c r="C6" s="62" t="s">
        <v>15</v>
      </c>
      <c r="D6" s="63">
        <v>12</v>
      </c>
      <c r="E6" s="86"/>
      <c r="F6" s="85"/>
      <c r="G6" s="62"/>
      <c r="H6" s="62">
        <f>G6-0</f>
        <v>0</v>
      </c>
      <c r="I6" s="65">
        <v>1.3310185185185187E-2</v>
      </c>
      <c r="J6" s="65">
        <f>I6</f>
        <v>1.3310185185185187E-2</v>
      </c>
      <c r="K6" s="66">
        <f>J6</f>
        <v>1.3310185185185187E-2</v>
      </c>
      <c r="L6" s="76"/>
      <c r="M6" s="67"/>
    </row>
    <row r="7" spans="1:14" s="2" customFormat="1" ht="30" customHeight="1" thickBot="1">
      <c r="A7" s="171"/>
      <c r="B7" s="5">
        <v>2</v>
      </c>
      <c r="C7" s="27" t="s">
        <v>19</v>
      </c>
      <c r="D7" s="24">
        <v>9</v>
      </c>
      <c r="E7" s="118">
        <v>39.07</v>
      </c>
      <c r="F7" s="84"/>
      <c r="G7" s="3">
        <v>6</v>
      </c>
      <c r="H7" s="3">
        <f>G7-G6</f>
        <v>6</v>
      </c>
      <c r="I7" s="20">
        <v>4.1018518518518517E-2</v>
      </c>
      <c r="J7" s="20">
        <f>I7-I6</f>
        <v>2.7708333333333328E-2</v>
      </c>
      <c r="K7" s="21">
        <f>J7</f>
        <v>2.7708333333333328E-2</v>
      </c>
      <c r="L7" s="29"/>
      <c r="M7" s="68"/>
    </row>
    <row r="8" spans="1:14" s="2" customFormat="1" ht="30" customHeight="1" thickBot="1">
      <c r="A8" s="171"/>
      <c r="B8" s="5">
        <v>3</v>
      </c>
      <c r="C8" s="3" t="s">
        <v>15</v>
      </c>
      <c r="D8" s="24">
        <v>14</v>
      </c>
      <c r="E8" s="114">
        <v>38.5</v>
      </c>
      <c r="F8" s="84">
        <f>(39.31+38.83+39.04+39.26+38.86+38.97+38.73+38.75+39.21+39.01+38.79+39.05+38.83+38.67+38.82+38.78+38.76+38.84+38.78+38.71+38.78+39.04+39.52+38.86+38.9+38.97+39.21+39+39.29+39.32+39.46+39.73+39.77+40.24+39.92+39.84+40.25+40.3+41.48+39.73+39.71+39.04+39.14+39.17+39.33+38.87+38.9+39.8+39.1+38.72+38.8+38.63+38.99+38.64+38.68+38.59+38.59+38.89+38.61+38.5+38.74+38.67+38.68+38.73+38.77+38.52+38.79+38.72+38.58+38.82+38.77+39.24)/72</f>
        <v>39.074166666666656</v>
      </c>
      <c r="G8" s="3">
        <v>79</v>
      </c>
      <c r="H8" s="3">
        <f t="shared" ref="H8:H12" si="0">G8-G7</f>
        <v>73</v>
      </c>
      <c r="I8" s="20">
        <v>7.4780092592592592E-2</v>
      </c>
      <c r="J8" s="20">
        <f>I8-I7</f>
        <v>3.3761574074074076E-2</v>
      </c>
      <c r="K8" s="21">
        <f>J8+K6</f>
        <v>4.7071759259259265E-2</v>
      </c>
      <c r="L8" s="69">
        <f t="shared" ref="L7:L13" si="1">F8-E8</f>
        <v>0.57416666666665606</v>
      </c>
      <c r="M8" s="68"/>
    </row>
    <row r="9" spans="1:14" s="2" customFormat="1" ht="30" customHeight="1">
      <c r="A9" s="171"/>
      <c r="B9" s="5">
        <v>4</v>
      </c>
      <c r="C9" s="3" t="s">
        <v>19</v>
      </c>
      <c r="D9" s="24">
        <v>12</v>
      </c>
      <c r="E9" s="96">
        <v>39.17</v>
      </c>
      <c r="F9" s="84">
        <f>(40.49+40.75+40.01+42.01+40.44+39.65+39.55+39.89+39.78+40.03+40.12+41.44+39.75+39.58+39.63+39.76+40.31+39.44+39.65+39.77+39.43+39.17+39.63+39.63+39.69+39.65+39.62+40.03)/28</f>
        <v>39.960714285714275</v>
      </c>
      <c r="G9" s="3">
        <v>108</v>
      </c>
      <c r="H9" s="3">
        <f t="shared" si="0"/>
        <v>29</v>
      </c>
      <c r="I9" s="20">
        <v>8.8946759259259267E-2</v>
      </c>
      <c r="J9" s="20">
        <f t="shared" ref="J9:J12" si="2">I9-I8</f>
        <v>1.4166666666666675E-2</v>
      </c>
      <c r="K9" s="23">
        <f>J9+K7</f>
        <v>4.1875000000000002E-2</v>
      </c>
      <c r="L9" s="29">
        <f t="shared" si="1"/>
        <v>0.79071428571427305</v>
      </c>
      <c r="M9" s="68"/>
    </row>
    <row r="10" spans="1:14" s="2" customFormat="1" ht="30" customHeight="1" thickBot="1">
      <c r="A10" s="171"/>
      <c r="B10" s="5">
        <v>5</v>
      </c>
      <c r="C10" s="3" t="s">
        <v>15</v>
      </c>
      <c r="D10" s="24">
        <v>2</v>
      </c>
      <c r="E10" s="98">
        <v>38.770000000000003</v>
      </c>
      <c r="F10" s="84">
        <f>(38.98+38.91+39.16+39.18+39.1+39.19+39.06+38.82+39.11+39.23+38.89+39.66+39.01+39.22+39.22+39.19+39.23+39.17+38.83+38.79+39.07+38.96+38.92+38.91+39.25+38.77+39.14+40.11+39.4+38.87+39.18+39.08+38.88+38.95+40.22+39.16+39.03+38.93+39.03+39.29+39.18+39.21)/42</f>
        <v>39.130714285714291</v>
      </c>
      <c r="G10" s="3">
        <v>151</v>
      </c>
      <c r="H10" s="3">
        <f t="shared" si="0"/>
        <v>43</v>
      </c>
      <c r="I10" s="20">
        <v>0.10917824074074074</v>
      </c>
      <c r="J10" s="20">
        <f t="shared" si="2"/>
        <v>2.0231481481481475E-2</v>
      </c>
      <c r="K10" s="23">
        <f>J10+K8</f>
        <v>6.7303240740740733E-2</v>
      </c>
      <c r="L10" s="29">
        <f t="shared" si="1"/>
        <v>0.36071428571428754</v>
      </c>
      <c r="M10" s="68"/>
    </row>
    <row r="11" spans="1:14" s="2" customFormat="1" ht="30" customHeight="1" thickBot="1">
      <c r="A11" s="171"/>
      <c r="B11" s="5">
        <v>6</v>
      </c>
      <c r="C11" s="3" t="s">
        <v>19</v>
      </c>
      <c r="D11" s="24">
        <v>15</v>
      </c>
      <c r="E11" s="106">
        <v>38.78</v>
      </c>
      <c r="F11" s="84">
        <f>(39.35+39.49+39.45+38.99+39.27+39.13+39.13+38.85+39.15+39.12+38.93+39.05+38.86+39.17+39.13+39.2+39.08+39.15+39.13+38.94+39.43+39.06+38.96+39.06+39.11+39.07+39.17+39.13+39.21+39.19+38.98+38.98+39.26+38.95+39.18+40.56+39.06+39.09+38.96+38.9+39.1+38.99+39.52+38.93+39+38.95+39.13+39.16+39.34+38.83+39.32+39.44+38.98+39.34+39.66+38.78+38.82+38.84+38.78+38.91+38.95+39.03+39.1+39.16)/64</f>
        <v>39.124062500000015</v>
      </c>
      <c r="G11" s="3">
        <v>217</v>
      </c>
      <c r="H11" s="3">
        <f t="shared" si="0"/>
        <v>66</v>
      </c>
      <c r="I11" s="20">
        <v>0.14083333333333334</v>
      </c>
      <c r="J11" s="20">
        <f t="shared" si="2"/>
        <v>3.1655092592592596E-2</v>
      </c>
      <c r="K11" s="101">
        <f>J11+K9</f>
        <v>7.3530092592592605E-2</v>
      </c>
      <c r="L11" s="70">
        <f t="shared" si="1"/>
        <v>0.34406250000001393</v>
      </c>
      <c r="M11" s="68"/>
    </row>
    <row r="12" spans="1:14" s="2" customFormat="1" ht="30" customHeight="1">
      <c r="A12" s="171"/>
      <c r="B12" s="5">
        <v>7</v>
      </c>
      <c r="C12" s="3" t="s">
        <v>15</v>
      </c>
      <c r="D12" s="24">
        <v>4</v>
      </c>
      <c r="E12" s="96">
        <v>38.86</v>
      </c>
      <c r="F12" s="84">
        <f>(39.42+39.29+39.55+39.41+39.1+39.07+39.21+39.17+38.86+38.94+39.05+39.34+38.88+39.22+39.1+39.03+39.02+38.98+39.26+38.94+39.18)/21</f>
        <v>39.14380952380953</v>
      </c>
      <c r="G12" s="3">
        <v>239</v>
      </c>
      <c r="H12" s="3">
        <f t="shared" si="0"/>
        <v>22</v>
      </c>
      <c r="I12" s="20">
        <v>0.15156250000000002</v>
      </c>
      <c r="J12" s="20">
        <f t="shared" si="2"/>
        <v>1.0729166666666679E-2</v>
      </c>
      <c r="K12" s="23">
        <f>J12+K10</f>
        <v>7.8032407407407411E-2</v>
      </c>
      <c r="L12" s="29">
        <f t="shared" si="1"/>
        <v>0.28380952380953062</v>
      </c>
      <c r="M12" s="77">
        <f>AVERAGE(L9,L11)</f>
        <v>0.56738839285714349</v>
      </c>
      <c r="N12" s="2" t="s">
        <v>59</v>
      </c>
    </row>
    <row r="13" spans="1:14" s="2" customFormat="1" ht="30" customHeight="1" thickBot="1">
      <c r="A13" s="171"/>
      <c r="B13" s="79" t="s">
        <v>13</v>
      </c>
      <c r="C13" s="6" t="s">
        <v>15</v>
      </c>
      <c r="D13" s="6">
        <v>9</v>
      </c>
      <c r="E13" s="99">
        <v>38.82</v>
      </c>
      <c r="F13" s="100">
        <f>(39.36+39.38+39.17+39.01+39+38.87+38.82+38.92+38.97+39.02+38.95+38.95+38.91+38.93+39.18+39.01+39+39.1+38.94+39.05+38.84+38.88+38.88+38.9+38.86+38.97+38.84+38.93+38.93+39.41+39)/31</f>
        <v>38.999354838709678</v>
      </c>
      <c r="G13" s="30">
        <v>271</v>
      </c>
      <c r="H13" s="30">
        <f>G13-G12</f>
        <v>32</v>
      </c>
      <c r="I13" s="31">
        <v>0.16668981481481482</v>
      </c>
      <c r="J13" s="31">
        <f>I13-I12</f>
        <v>1.5127314814814802E-2</v>
      </c>
      <c r="K13" s="73">
        <f>J13+K12</f>
        <v>9.3159722222222213E-2</v>
      </c>
      <c r="L13" s="103">
        <f t="shared" si="1"/>
        <v>0.17935483870967772</v>
      </c>
      <c r="M13" s="78">
        <f>AVERAGE(L8,L10,L12,L13)</f>
        <v>0.34951132872503798</v>
      </c>
      <c r="N13" s="2" t="s">
        <v>56</v>
      </c>
    </row>
    <row r="14" spans="1:14" ht="16.5" thickBot="1">
      <c r="A14" s="172"/>
      <c r="B14" s="173"/>
      <c r="C14" s="174"/>
      <c r="D14" s="174"/>
      <c r="E14" s="80">
        <f>AVERAGE(E6:E13)</f>
        <v>38.85285714285714</v>
      </c>
      <c r="F14" s="81">
        <f>AVERAGE(F6:F13)</f>
        <v>39.238803683435741</v>
      </c>
      <c r="G14" s="11"/>
      <c r="H14" s="11"/>
      <c r="I14" s="11"/>
      <c r="J14" s="11"/>
      <c r="K14" s="11"/>
      <c r="L14" s="11"/>
      <c r="M14" s="11"/>
    </row>
    <row r="16" spans="1:14" ht="15.75">
      <c r="A16" s="72" t="s">
        <v>78</v>
      </c>
      <c r="C16" s="87"/>
    </row>
    <row r="17" spans="1:1" ht="15.75">
      <c r="A17" s="28"/>
    </row>
  </sheetData>
  <mergeCells count="15">
    <mergeCell ref="L4:M4"/>
    <mergeCell ref="A1:M1"/>
    <mergeCell ref="A3:M3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opLeftCell="A2" zoomScale="90" zoomScaleNormal="90" workbookViewId="0">
      <selection activeCell="A16" sqref="A16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14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ht="10.5" customHeight="1"/>
    <row r="3" spans="1:14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4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14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14" s="2" customFormat="1" ht="30" customHeight="1">
      <c r="A6" s="170" t="s">
        <v>77</v>
      </c>
      <c r="B6" s="35">
        <v>1</v>
      </c>
      <c r="C6" s="62" t="s">
        <v>20</v>
      </c>
      <c r="D6" s="63">
        <v>3</v>
      </c>
      <c r="E6" s="86">
        <v>38.619999999999997</v>
      </c>
      <c r="F6" s="85"/>
      <c r="G6" s="104"/>
      <c r="H6" s="62">
        <f>G6-0</f>
        <v>0</v>
      </c>
      <c r="I6" s="65">
        <v>1.2800925925925926E-2</v>
      </c>
      <c r="J6" s="65">
        <f>I6</f>
        <v>1.2800925925925926E-2</v>
      </c>
      <c r="K6" s="66">
        <f>J6</f>
        <v>1.2800925925925926E-2</v>
      </c>
      <c r="L6" s="76">
        <f>F6-E6</f>
        <v>-38.619999999999997</v>
      </c>
      <c r="M6" s="67"/>
    </row>
    <row r="7" spans="1:14" s="2" customFormat="1" ht="30" customHeight="1">
      <c r="A7" s="171"/>
      <c r="B7" s="5">
        <v>2</v>
      </c>
      <c r="C7" s="27" t="s">
        <v>21</v>
      </c>
      <c r="D7" s="24">
        <v>11</v>
      </c>
      <c r="E7" s="89"/>
      <c r="F7" s="84"/>
      <c r="G7" s="89"/>
      <c r="H7" s="3">
        <f>G7-G6</f>
        <v>0</v>
      </c>
      <c r="I7" s="20">
        <v>3.4629629629629628E-2</v>
      </c>
      <c r="J7" s="20">
        <f>I7-I6</f>
        <v>2.1828703703703704E-2</v>
      </c>
      <c r="K7" s="21">
        <f>J7</f>
        <v>2.1828703703703704E-2</v>
      </c>
      <c r="L7" s="29">
        <f t="shared" ref="L7:L13" si="0">F7-E7</f>
        <v>0</v>
      </c>
      <c r="M7" s="68"/>
    </row>
    <row r="8" spans="1:14" s="2" customFormat="1" ht="30" customHeight="1">
      <c r="A8" s="171"/>
      <c r="B8" s="5">
        <v>3</v>
      </c>
      <c r="C8" s="3" t="s">
        <v>20</v>
      </c>
      <c r="D8" s="24">
        <v>1</v>
      </c>
      <c r="E8" s="99">
        <v>38.520000000000003</v>
      </c>
      <c r="F8" s="199">
        <f>(38.81+38.82+39.01+38.68+38.76+38.94+38.7+38.75+39.03+38.62+38.85+39.52+38.76+38.86+38.96+38.93+38.7+38.73+38.85+38.75+38.71+38.64+39.27+38.76+38.79+38.81+38.79+38.72+38.8+38.7+38.59+38.75+38.77+38.66+38.63+39.17+39.09+39.43+41.49+39.87+40.12+40.86+40.38+40.15+40.56+40.36+47.67+39.75+39.81+39+38.99+38.78+40.14+38.77+38.79+39.35+39.18+39.36+38.82+38.75+38.52+38.61+38.64+38.53+38.63+38.58+39.03)/67</f>
        <v>39.217910447761199</v>
      </c>
      <c r="G8" s="89">
        <v>67</v>
      </c>
      <c r="H8" s="3">
        <f t="shared" ref="H8:H12" si="1">G8-G7</f>
        <v>67</v>
      </c>
      <c r="I8" s="20">
        <v>6.896990740740741E-2</v>
      </c>
      <c r="J8" s="20">
        <f>I8-I7</f>
        <v>3.4340277777777782E-2</v>
      </c>
      <c r="K8" s="21">
        <f>J8+J6</f>
        <v>4.7141203703703706E-2</v>
      </c>
      <c r="L8" s="69">
        <f t="shared" si="0"/>
        <v>0.69791044776119548</v>
      </c>
      <c r="M8" s="68"/>
    </row>
    <row r="9" spans="1:14" s="2" customFormat="1" ht="30" customHeight="1" thickBot="1">
      <c r="A9" s="171"/>
      <c r="B9" s="5">
        <v>4</v>
      </c>
      <c r="C9" s="3" t="s">
        <v>21</v>
      </c>
      <c r="D9" s="24">
        <v>88</v>
      </c>
      <c r="E9" s="98">
        <v>40.020000000000003</v>
      </c>
      <c r="F9" s="84">
        <f>(40.43+40.17+40.14+40.17+40.23+40.13+40.3+40.45+40.09+40.24+40.02+40.05+40.25+40.16+40.48+40.15+40.1+40.14+40.49)/19</f>
        <v>40.220526315789478</v>
      </c>
      <c r="G9" s="89">
        <v>87</v>
      </c>
      <c r="H9" s="3">
        <f t="shared" si="1"/>
        <v>20</v>
      </c>
      <c r="I9" s="20">
        <v>7.9004629629629633E-2</v>
      </c>
      <c r="J9" s="20">
        <f t="shared" ref="J9:J12" si="2">I9-I8</f>
        <v>1.0034722222222223E-2</v>
      </c>
      <c r="K9" s="23">
        <f>J9+J7</f>
        <v>3.1863425925925927E-2</v>
      </c>
      <c r="L9" s="70">
        <f t="shared" si="0"/>
        <v>0.20052631578947455</v>
      </c>
      <c r="M9" s="68"/>
    </row>
    <row r="10" spans="1:14" s="2" customFormat="1" ht="30" customHeight="1" thickBot="1">
      <c r="A10" s="171"/>
      <c r="B10" s="5">
        <v>5</v>
      </c>
      <c r="C10" s="3" t="s">
        <v>21</v>
      </c>
      <c r="D10" s="24">
        <v>14</v>
      </c>
      <c r="E10" s="117">
        <v>38.58</v>
      </c>
      <c r="F10" s="84">
        <f>(39+40.14+39.89+39.07+38.89+38.92+38.78+38.84+38.95+39.81+38.66+38.91+38.9+39.07+38.77+38.93+38.92+38.87+39.15+38.77+38.75+38.94+38.98+38.95+38.84+38.95+38.58+38.77+39.43+39.47+38.88+39.47+39.37+40.63+39.44+40.09+40.41+39.36+39.35+39.3+39.45+39.68+39.51+39.46+39.31+39.39+39.4+39.31+40.08+39.53+39.48+39.28+39.33+39.16+39.46+39.46+39.51+39.16+39.36+39.02+39.41+39.52+39.38+39.54+39.46)/65</f>
        <v>39.274615384615387</v>
      </c>
      <c r="G10" s="89">
        <v>153</v>
      </c>
      <c r="H10" s="3">
        <f t="shared" si="1"/>
        <v>66</v>
      </c>
      <c r="I10" s="20">
        <v>0.10975694444444445</v>
      </c>
      <c r="J10" s="20">
        <f t="shared" si="2"/>
        <v>3.0752314814814816E-2</v>
      </c>
      <c r="K10" s="23">
        <f>J10+K9</f>
        <v>6.261574074074075E-2</v>
      </c>
      <c r="L10" s="29">
        <f t="shared" si="0"/>
        <v>0.69461538461538908</v>
      </c>
      <c r="M10" s="68"/>
    </row>
    <row r="11" spans="1:14" s="2" customFormat="1" ht="30" customHeight="1" thickBot="1">
      <c r="A11" s="171"/>
      <c r="B11" s="5">
        <v>6</v>
      </c>
      <c r="C11" s="3" t="s">
        <v>20</v>
      </c>
      <c r="D11" s="24">
        <v>2</v>
      </c>
      <c r="E11" s="94">
        <v>38.450000000000003</v>
      </c>
      <c r="F11" s="84">
        <f>(40.13+40.11+40.4+39.51+38.98+38.96+39.02+38.97+39.01+38.9+38.75+38.81+38.96+38.84+38.72+38.81+38.84+38.7+38.62+38.84+38.91+38.78+40.72+38.79+38.84+38.79+38.79+38.88+38.65+38.69+38.53+38.67+38.73+38.72+38.8+38.77+38.45+39.06+38.82+38.64+38.63+38.69+38.56+35.58+38.69+38.6+38.47+39.13+38.9+39.21+40.06+38.77+38.88+39.14+38.73+38.74+38.69+38.85+38.71+38.8+38.62+39.02+39.07+39.05+39.18)/65</f>
        <v>38.887384615384626</v>
      </c>
      <c r="G11" s="89">
        <v>220</v>
      </c>
      <c r="H11" s="3">
        <f t="shared" si="1"/>
        <v>67</v>
      </c>
      <c r="I11" s="20">
        <v>0.14248842592592592</v>
      </c>
      <c r="J11" s="20">
        <f t="shared" si="2"/>
        <v>3.2731481481481473E-2</v>
      </c>
      <c r="K11" s="22">
        <f>J11+K8</f>
        <v>7.9872685185185172E-2</v>
      </c>
      <c r="L11" s="107">
        <f t="shared" si="0"/>
        <v>0.43738461538462303</v>
      </c>
      <c r="M11" s="68"/>
    </row>
    <row r="12" spans="1:14" s="2" customFormat="1" ht="30" customHeight="1">
      <c r="A12" s="171"/>
      <c r="B12" s="5">
        <v>7</v>
      </c>
      <c r="C12" s="3" t="s">
        <v>21</v>
      </c>
      <c r="D12" s="24">
        <v>15</v>
      </c>
      <c r="E12" s="96">
        <v>38.67</v>
      </c>
      <c r="F12" s="84">
        <f>(39.59+38.78+38.89+39.46+38.96+38.93+38.89+39.2+39.26+39.25+38.93+39.2+38.93+38.95+39.03+39.17+38.89+39.33+38.83+39.18+39.24+38.8+38.97+39.03+38.67+39.38)/26</f>
        <v>39.066923076923075</v>
      </c>
      <c r="G12" s="89">
        <v>247</v>
      </c>
      <c r="H12" s="3">
        <f t="shared" si="1"/>
        <v>27</v>
      </c>
      <c r="I12" s="20">
        <v>0.15547453703703704</v>
      </c>
      <c r="J12" s="20">
        <f t="shared" si="2"/>
        <v>1.2986111111111115E-2</v>
      </c>
      <c r="K12" s="23">
        <f>J12+K10</f>
        <v>7.5601851851851865E-2</v>
      </c>
      <c r="L12" s="29">
        <f t="shared" si="0"/>
        <v>0.39692307692307338</v>
      </c>
      <c r="M12" s="77">
        <f>AVERAGE(L9,L10,L12,L13)</f>
        <v>0.38236402041893847</v>
      </c>
      <c r="N12" s="2" t="s">
        <v>21</v>
      </c>
    </row>
    <row r="13" spans="1:14" s="2" customFormat="1" ht="30" customHeight="1" thickBot="1">
      <c r="A13" s="171"/>
      <c r="B13" s="79" t="s">
        <v>13</v>
      </c>
      <c r="C13" s="6" t="s">
        <v>21</v>
      </c>
      <c r="D13" s="6">
        <v>11</v>
      </c>
      <c r="E13" s="99">
        <v>38.68</v>
      </c>
      <c r="F13" s="100">
        <f>(38.94+38.95+38.93+39.12+38.86+38.71+38.68+38.84+38.85+38.82+39.3+38.88+38.94+38.94+38.95+38.79+38.81+38.9+38.86+39.02+38.81+39.29+38.91)/23</f>
        <v>38.917391304347817</v>
      </c>
      <c r="G13" s="105">
        <v>271</v>
      </c>
      <c r="H13" s="30">
        <f>G13-G12</f>
        <v>24</v>
      </c>
      <c r="I13" s="31">
        <v>0.16666666666666666</v>
      </c>
      <c r="J13" s="31">
        <f>I13-I12</f>
        <v>1.1192129629629621E-2</v>
      </c>
      <c r="K13" s="73">
        <f>J13+K12</f>
        <v>8.6793981481481486E-2</v>
      </c>
      <c r="L13" s="71">
        <f t="shared" si="0"/>
        <v>0.23739130434781686</v>
      </c>
      <c r="M13" s="78">
        <f>AVERAGE(L8,L11)</f>
        <v>0.56764753157290926</v>
      </c>
      <c r="N13" s="2" t="s">
        <v>57</v>
      </c>
    </row>
    <row r="14" spans="1:14" ht="16.5" thickBot="1">
      <c r="A14" s="172"/>
      <c r="B14" s="186"/>
      <c r="C14" s="187"/>
      <c r="D14" s="188"/>
      <c r="E14" s="80">
        <f>AVERAGE(E6:E13)</f>
        <v>38.791428571428575</v>
      </c>
      <c r="F14" s="81">
        <f>AVERAGE(F6:F13)</f>
        <v>39.26412519080359</v>
      </c>
      <c r="G14" s="11"/>
      <c r="H14" s="11"/>
      <c r="I14" s="11"/>
      <c r="J14" s="11"/>
      <c r="K14" s="11"/>
      <c r="L14" s="11"/>
      <c r="M14" s="11"/>
    </row>
    <row r="16" spans="1:14">
      <c r="A16" s="72" t="s">
        <v>78</v>
      </c>
    </row>
    <row r="17" spans="1:1" ht="15.75">
      <c r="A17" s="28"/>
    </row>
  </sheetData>
  <mergeCells count="15">
    <mergeCell ref="A3:M3"/>
    <mergeCell ref="A1:M1"/>
    <mergeCell ref="A6:A14"/>
    <mergeCell ref="B14:D14"/>
    <mergeCell ref="I4:I5"/>
    <mergeCell ref="L4:M4"/>
    <mergeCell ref="A4:A5"/>
    <mergeCell ref="B4:B5"/>
    <mergeCell ref="C4:C5"/>
    <mergeCell ref="D4:D5"/>
    <mergeCell ref="E4:E5"/>
    <mergeCell ref="F4:F5"/>
    <mergeCell ref="G4:G5"/>
    <mergeCell ref="H4:H5"/>
    <mergeCell ref="J4:K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topLeftCell="A2" zoomScale="90" zoomScaleNormal="90" workbookViewId="0">
      <selection activeCell="F15" sqref="F15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20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20" ht="10.5" customHeight="1"/>
    <row r="3" spans="1:20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20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20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20" s="2" customFormat="1" ht="30" customHeight="1">
      <c r="A6" s="170" t="s">
        <v>60</v>
      </c>
      <c r="B6" s="35">
        <v>1</v>
      </c>
      <c r="C6" s="62" t="s">
        <v>22</v>
      </c>
      <c r="D6" s="108">
        <v>88</v>
      </c>
      <c r="E6" s="86"/>
      <c r="F6" s="85"/>
      <c r="G6" s="62"/>
      <c r="H6" s="62">
        <f>G6-0</f>
        <v>0</v>
      </c>
      <c r="I6" s="65">
        <v>1.2905092592592591E-2</v>
      </c>
      <c r="J6" s="65">
        <f>I6</f>
        <v>1.2905092592592591E-2</v>
      </c>
      <c r="K6" s="66">
        <f>J6</f>
        <v>1.2905092592592591E-2</v>
      </c>
      <c r="L6" s="76">
        <f>F6-E6</f>
        <v>0</v>
      </c>
      <c r="M6" s="67"/>
    </row>
    <row r="7" spans="1:20" s="2" customFormat="1" ht="30" customHeight="1">
      <c r="A7" s="171"/>
      <c r="B7" s="5">
        <v>2</v>
      </c>
      <c r="C7" s="27" t="s">
        <v>22</v>
      </c>
      <c r="D7" s="109">
        <v>14</v>
      </c>
      <c r="E7" s="110">
        <v>38.76</v>
      </c>
      <c r="F7" s="84"/>
      <c r="G7" s="3"/>
      <c r="H7" s="3">
        <f>G7-G6</f>
        <v>0</v>
      </c>
      <c r="I7" s="20">
        <v>3.4907407407407408E-2</v>
      </c>
      <c r="J7" s="20">
        <f>I7-I6</f>
        <v>2.2002314814814815E-2</v>
      </c>
      <c r="K7" s="21">
        <f>J7+K6</f>
        <v>3.4907407407407408E-2</v>
      </c>
      <c r="L7" s="29">
        <f t="shared" ref="L7:L13" si="0">F7-E7</f>
        <v>-38.76</v>
      </c>
      <c r="M7" s="68"/>
    </row>
    <row r="8" spans="1:20" s="2" customFormat="1" ht="30" customHeight="1">
      <c r="A8" s="171"/>
      <c r="B8" s="5">
        <v>3</v>
      </c>
      <c r="C8" s="3" t="s">
        <v>23</v>
      </c>
      <c r="D8" s="113" t="s">
        <v>98</v>
      </c>
      <c r="E8" s="99">
        <v>38.74</v>
      </c>
      <c r="F8" s="84">
        <f>(38.89+39.08+38.96+39.07+38.95+38.84+38.99+39.03+38.91+39.12+39.14+38.86+38.96+38.78+38.74+38.93+38.8+39.5+39.45+39.33+39.47+39.44+38.86+38.99+38.88+39+39.29+40.12+40.24+39.88+40.21+40.17+41.29+40.33+40.14+40.51+40.74+40.99+40.86+40.58+41.83+41.56+41.6)/43</f>
        <v>39.658372093023246</v>
      </c>
      <c r="G8" s="3">
        <v>45</v>
      </c>
      <c r="H8" s="3">
        <f t="shared" ref="H8:H12" si="1">G8-G7</f>
        <v>45</v>
      </c>
      <c r="I8" s="20">
        <v>5.9710648148148145E-2</v>
      </c>
      <c r="J8" s="20">
        <f>I8-I7</f>
        <v>2.4803240740740737E-2</v>
      </c>
      <c r="K8" s="21">
        <f>J8</f>
        <v>2.4803240740740737E-2</v>
      </c>
      <c r="L8" s="29">
        <f t="shared" si="0"/>
        <v>0.91837209302324396</v>
      </c>
      <c r="M8" s="68"/>
    </row>
    <row r="9" spans="1:20" s="2" customFormat="1" ht="30" customHeight="1" thickBot="1">
      <c r="A9" s="171"/>
      <c r="B9" s="5">
        <v>4</v>
      </c>
      <c r="C9" s="3" t="s">
        <v>22</v>
      </c>
      <c r="D9" s="109">
        <v>13</v>
      </c>
      <c r="E9" s="98">
        <v>39.14</v>
      </c>
      <c r="F9" s="84">
        <f>(40.62+39.62+39.56+39.63+39.37+39.41+40.7+39.21+40.01+39.14+39.38+39.4+39.37+39.56+39.82+39.38+39.36+39.59+39.59+39.35+39.39+39.45+39.34+39.43+39.6+39.36+39.41+39.48+39.22+39.62+39.23+39.34+39.47+39.44+39.42+39.51+39.3+39.32+39.43)/39</f>
        <v>39.508461538461539</v>
      </c>
      <c r="G9" s="3">
        <v>85</v>
      </c>
      <c r="H9" s="3">
        <f t="shared" si="1"/>
        <v>40</v>
      </c>
      <c r="I9" s="20">
        <v>7.8634259259259265E-2</v>
      </c>
      <c r="J9" s="20">
        <f t="shared" ref="J9:J12" si="2">I9-I8</f>
        <v>1.892361111111112E-2</v>
      </c>
      <c r="K9" s="23">
        <f>J9+K7</f>
        <v>5.3831018518518528E-2</v>
      </c>
      <c r="L9" s="70">
        <f t="shared" si="0"/>
        <v>0.3684615384615384</v>
      </c>
      <c r="M9" s="68"/>
    </row>
    <row r="10" spans="1:20" s="2" customFormat="1" ht="30" customHeight="1" thickBot="1">
      <c r="A10" s="171"/>
      <c r="B10" s="5">
        <v>5</v>
      </c>
      <c r="C10" s="3" t="s">
        <v>23</v>
      </c>
      <c r="D10" s="109">
        <v>1</v>
      </c>
      <c r="E10" s="114">
        <v>38.53</v>
      </c>
      <c r="F10" s="84">
        <f>(39.2+39.04+39.13+38.95+38.69+38.62+39.07+38.7+39.4+38.76+38.92+38.69+38.81+38.78+38.72+38.79+38.82+38.62+38.75+39.11+39.03+38.81+38.69+38.63+38.71+38.53+38.74+38.65+39.11+39.15+39.16+40.09+39.6+38.9+39.07+39.73+40.13+39.45+38.75+38.92+38.69+38.87+38.72+38.8+38.86+38.83+38.72+39.26+38.77+39.04+39.41+38.92+39.04+38.73+38.58+38.85+39.19+38.8+38.74+39.12+38.96+38.98+38.93+39.1)/64</f>
        <v>38.958281249999999</v>
      </c>
      <c r="G10" s="3">
        <v>151</v>
      </c>
      <c r="H10" s="3">
        <f t="shared" si="1"/>
        <v>66</v>
      </c>
      <c r="I10" s="20">
        <v>0.10929398148148149</v>
      </c>
      <c r="J10" s="20">
        <f t="shared" si="2"/>
        <v>3.0659722222222227E-2</v>
      </c>
      <c r="K10" s="23">
        <f>J10+K8</f>
        <v>5.5462962962962964E-2</v>
      </c>
      <c r="L10" s="29">
        <f t="shared" si="0"/>
        <v>0.42828124999999773</v>
      </c>
      <c r="M10" s="83"/>
    </row>
    <row r="11" spans="1:20" s="2" customFormat="1" ht="30" customHeight="1" thickBot="1">
      <c r="A11" s="171"/>
      <c r="B11" s="5">
        <v>6</v>
      </c>
      <c r="C11" s="3" t="s">
        <v>22</v>
      </c>
      <c r="D11" s="109">
        <v>11</v>
      </c>
      <c r="E11" s="99">
        <v>39.22</v>
      </c>
      <c r="F11" s="84">
        <f>(39.86+39.97+40.14+40.55+40.24+39.6+39.24+39.46+39.34+39.67+39.55+39.63+39.66+39.43+39.48+39.47+39.38+39.32+39.53+39.31+39.4+39.38+39.22+39.46+39.41+39.74+39.5+39.4+39.89)/29</f>
        <v>39.594137931034481</v>
      </c>
      <c r="G11" s="3">
        <v>181</v>
      </c>
      <c r="H11" s="3">
        <f t="shared" si="1"/>
        <v>30</v>
      </c>
      <c r="I11" s="20">
        <v>0.12377314814814815</v>
      </c>
      <c r="J11" s="20">
        <f t="shared" si="2"/>
        <v>1.4479166666666654E-2</v>
      </c>
      <c r="K11" s="23">
        <f>J11+K9</f>
        <v>6.8310185185185182E-2</v>
      </c>
      <c r="L11" s="29">
        <f t="shared" si="0"/>
        <v>0.37413793103448256</v>
      </c>
      <c r="M11" s="77"/>
      <c r="O11" s="26"/>
      <c r="P11" s="26"/>
      <c r="Q11" s="26"/>
      <c r="R11" s="26"/>
      <c r="S11" s="26"/>
      <c r="T11" s="26"/>
    </row>
    <row r="12" spans="1:20" s="2" customFormat="1" ht="30" customHeight="1" thickBot="1">
      <c r="A12" s="171"/>
      <c r="B12" s="5">
        <v>7</v>
      </c>
      <c r="C12" s="3" t="s">
        <v>22</v>
      </c>
      <c r="D12" s="109">
        <v>9</v>
      </c>
      <c r="E12" s="106">
        <v>38.93</v>
      </c>
      <c r="F12" s="84">
        <f>(39.25+39.24+39.34+39.13+39.22+39.12+39.1+38.93+39.04+39.17+39.25+43.8+39.11+39.19+39.22+39.17+39.72+39.05+39.41+39.3+39.27+39.14+39.04+39.15+39.14+39.11+39.29+39.02+39.26+39.55+39.22+39.16+39.23+39.16+39.37+39.1+39.27+39.11+39.03+39.23+39.11+39.2+39.14+39.18+39.19+39.16+39.33+39.48+39.83)/49</f>
        <v>39.310816326530606</v>
      </c>
      <c r="G12" s="3">
        <v>232</v>
      </c>
      <c r="H12" s="3">
        <f t="shared" si="1"/>
        <v>51</v>
      </c>
      <c r="I12" s="20">
        <v>0.1489236111111111</v>
      </c>
      <c r="J12" s="20">
        <f t="shared" si="2"/>
        <v>2.5150462962962958E-2</v>
      </c>
      <c r="K12" s="22">
        <f>J12+K11</f>
        <v>9.346064814814814E-2</v>
      </c>
      <c r="L12" s="29">
        <f t="shared" si="0"/>
        <v>0.38081632653060637</v>
      </c>
      <c r="M12" s="77">
        <f>AVERAGE(L9,L11,L12)</f>
        <v>0.3744719320088758</v>
      </c>
      <c r="N12" s="2" t="s">
        <v>61</v>
      </c>
    </row>
    <row r="13" spans="1:20" s="2" customFormat="1" ht="30" customHeight="1" thickBot="1">
      <c r="A13" s="171"/>
      <c r="B13" s="36" t="s">
        <v>13</v>
      </c>
      <c r="C13" s="30" t="s">
        <v>23</v>
      </c>
      <c r="D13" s="105">
        <v>88</v>
      </c>
      <c r="E13" s="111">
        <v>39.6</v>
      </c>
      <c r="F13" s="112">
        <f>(39.96+40.01+40.03+39.86+39.96+39.83+39.86+39.98+39.78+39.8+40.36+39.68+39.73+39.73+39.75+40.16+39.85+40.59+39.61+39.88+40.03+39.88+39.71+39.85+41+39.6+39.78+39.8+39.82+39.85+39.81+40+39.82+40.12+40.75+40.02)/36</f>
        <v>39.951388888888886</v>
      </c>
      <c r="G13" s="30">
        <v>269</v>
      </c>
      <c r="H13" s="30">
        <f>G13-G12</f>
        <v>37</v>
      </c>
      <c r="I13" s="31">
        <v>0.16666666666666666</v>
      </c>
      <c r="J13" s="31">
        <f>I13-I12</f>
        <v>1.7743055555555554E-2</v>
      </c>
      <c r="K13" s="73">
        <f>J13+K10</f>
        <v>7.3206018518518517E-2</v>
      </c>
      <c r="L13" s="115">
        <f t="shared" si="0"/>
        <v>0.35138888888888431</v>
      </c>
      <c r="M13" s="78">
        <f>AVERAGE(L8,L10,L13)</f>
        <v>0.56601407730404196</v>
      </c>
      <c r="N13" s="2" t="s">
        <v>62</v>
      </c>
    </row>
    <row r="14" spans="1:20" ht="16.5" thickBot="1">
      <c r="A14" s="172"/>
      <c r="B14" s="186"/>
      <c r="C14" s="187"/>
      <c r="D14" s="188"/>
      <c r="E14" s="80">
        <f>AVERAGE(E6:E13)</f>
        <v>38.988571428571433</v>
      </c>
      <c r="F14" s="81">
        <f>AVERAGE(F6:F13)</f>
        <v>39.496909671323131</v>
      </c>
      <c r="G14" s="11"/>
      <c r="H14" s="11"/>
      <c r="I14" s="11"/>
      <c r="J14" s="11"/>
      <c r="K14" s="11"/>
      <c r="L14" s="11"/>
      <c r="M14" s="11"/>
    </row>
    <row r="15" spans="1:20">
      <c r="F15" s="39" t="s">
        <v>68</v>
      </c>
    </row>
    <row r="16" spans="1:20">
      <c r="A16" s="72" t="s">
        <v>78</v>
      </c>
    </row>
    <row r="17" spans="1:1" ht="15.75">
      <c r="A17" s="28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H17" sqref="H1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14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ht="10.5" customHeight="1"/>
    <row r="3" spans="1:14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4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14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14" s="2" customFormat="1" ht="30" customHeight="1" thickBot="1">
      <c r="A6" s="170" t="s">
        <v>104</v>
      </c>
      <c r="B6" s="35">
        <v>1</v>
      </c>
      <c r="C6" s="62" t="s">
        <v>82</v>
      </c>
      <c r="D6" s="63">
        <v>13</v>
      </c>
      <c r="E6" s="94">
        <v>38.69</v>
      </c>
      <c r="F6" s="64"/>
      <c r="G6" s="62"/>
      <c r="H6" s="62">
        <f>G6-0</f>
        <v>0</v>
      </c>
      <c r="I6" s="65">
        <v>2.0439814814814817E-2</v>
      </c>
      <c r="J6" s="65">
        <f>I6</f>
        <v>2.0439814814814817E-2</v>
      </c>
      <c r="K6" s="66">
        <f>J6</f>
        <v>2.0439814814814817E-2</v>
      </c>
      <c r="L6" s="76"/>
      <c r="M6" s="67"/>
    </row>
    <row r="7" spans="1:14" s="2" customFormat="1" ht="30" customHeight="1">
      <c r="A7" s="171"/>
      <c r="B7" s="5">
        <v>2</v>
      </c>
      <c r="C7" s="27" t="s">
        <v>81</v>
      </c>
      <c r="D7" s="24">
        <v>88</v>
      </c>
      <c r="E7" s="88"/>
      <c r="F7" s="25"/>
      <c r="G7" s="3">
        <v>5</v>
      </c>
      <c r="H7" s="3">
        <f>G7-G6</f>
        <v>5</v>
      </c>
      <c r="I7" s="20">
        <v>4.0543981481481479E-2</v>
      </c>
      <c r="J7" s="20">
        <f>I7-I6</f>
        <v>2.0104166666666663E-2</v>
      </c>
      <c r="K7" s="21">
        <f>J7+K6</f>
        <v>4.0543981481481479E-2</v>
      </c>
      <c r="L7" s="29"/>
      <c r="M7" s="68"/>
    </row>
    <row r="8" spans="1:14" s="2" customFormat="1" ht="30" customHeight="1">
      <c r="A8" s="171"/>
      <c r="B8" s="5">
        <v>3</v>
      </c>
      <c r="C8" s="3" t="s">
        <v>82</v>
      </c>
      <c r="D8" s="109">
        <v>11</v>
      </c>
      <c r="E8" s="116">
        <v>39.130000000000003</v>
      </c>
      <c r="F8" s="199">
        <f>(39.46+39.42+39.5+39.44+39.57+39.3+39.45+39.13+39.41+39.26+39.3+39.25+39.38+39.38+39.41+39.24+39.36+39.28+39.36+39.25+39.57+39.39+39.29+39.43+39.37+39.43+39.49+39.67+39.56+40.14+40.07+40.3+40.28+40.34+40.36+40.29+41.13+40.7+40.54+40.42+40.29+42.34)/42</f>
        <v>39.751190476190473</v>
      </c>
      <c r="G8" s="3">
        <v>48</v>
      </c>
      <c r="H8" s="3">
        <f t="shared" ref="H8:H12" si="0">G8-G7</f>
        <v>43</v>
      </c>
      <c r="I8" s="20">
        <v>6.1134259259259256E-2</v>
      </c>
      <c r="J8" s="20">
        <f>I8-I7</f>
        <v>2.0590277777777777E-2</v>
      </c>
      <c r="K8" s="21">
        <f>J8</f>
        <v>2.0590277777777777E-2</v>
      </c>
      <c r="L8" s="29">
        <f t="shared" ref="L7:L11" si="1">F8-E8</f>
        <v>0.62119047619047052</v>
      </c>
      <c r="M8" s="68"/>
    </row>
    <row r="9" spans="1:14" s="2" customFormat="1" ht="30" customHeight="1">
      <c r="A9" s="171"/>
      <c r="B9" s="5">
        <v>4</v>
      </c>
      <c r="C9" s="3" t="s">
        <v>81</v>
      </c>
      <c r="D9" s="109">
        <v>4</v>
      </c>
      <c r="E9" s="97">
        <v>39.08</v>
      </c>
      <c r="F9" s="84">
        <f>(39.67+39.29+41.26+39.63+39.83+39.82+39.36+39.57+39.44+39.23+39.41+39.47+39.55+39.46+39.61+39.5+39.23+39.14+39.3+39.24+39.22+39.44+39.44+39.28+39.37+39.08+39.22+39.35+39.19+40.06+39.52+39.55+39.29+39.63+39.84+39.46+39.63+39.32+39.43+39.39+39.49+39.33+39.38+39.47+39.23+39.24+39.19+40.28+40.31)/49</f>
        <v>39.502857142857152</v>
      </c>
      <c r="G9" s="3">
        <v>98</v>
      </c>
      <c r="H9" s="3">
        <f t="shared" si="0"/>
        <v>50</v>
      </c>
      <c r="I9" s="20">
        <v>8.4768518518518521E-2</v>
      </c>
      <c r="J9" s="20">
        <f t="shared" ref="J9:J12" si="2">I9-I8</f>
        <v>2.3634259259259265E-2</v>
      </c>
      <c r="K9" s="23">
        <f>J9+K7</f>
        <v>6.4178240740740744E-2</v>
      </c>
      <c r="L9" s="29">
        <f t="shared" si="1"/>
        <v>0.42285714285715414</v>
      </c>
      <c r="M9" s="68"/>
    </row>
    <row r="10" spans="1:14" s="2" customFormat="1" ht="30" customHeight="1" thickBot="1">
      <c r="A10" s="171"/>
      <c r="B10" s="5">
        <v>5</v>
      </c>
      <c r="C10" s="3" t="s">
        <v>82</v>
      </c>
      <c r="D10" s="109">
        <v>13</v>
      </c>
      <c r="E10" s="116">
        <v>39.01</v>
      </c>
      <c r="F10" s="84">
        <f>(39.35+39.72+40+39.5+39.68+39.52+39.48+39.56+39.15+39.12+39.38+39.73+39.19+39.31+39.21+39.31+39.4+39.48+39.28+39.31+39.13+39.09+39.25+39.23+39.11+39.9+39.2+39.15+39.34+39.34+39.18+39.26+39.07+39.2+39.14+39.19+39.17+39.01+39.34+39.16+39.22+39.21+39.75+39.09+39.34+39.21+39.29+39.33+39.08+39.07+39.37)/51</f>
        <v>39.315686274509801</v>
      </c>
      <c r="G10" s="3">
        <v>151</v>
      </c>
      <c r="H10" s="3">
        <f t="shared" si="0"/>
        <v>53</v>
      </c>
      <c r="I10" s="20">
        <v>0.10987268518518518</v>
      </c>
      <c r="J10" s="20">
        <f t="shared" si="2"/>
        <v>2.5104166666666664E-2</v>
      </c>
      <c r="K10" s="23">
        <f>J10+K8</f>
        <v>4.569444444444444E-2</v>
      </c>
      <c r="L10" s="29">
        <f t="shared" si="1"/>
        <v>0.30568627450980301</v>
      </c>
      <c r="M10" s="68"/>
    </row>
    <row r="11" spans="1:14" s="2" customFormat="1" ht="30" customHeight="1" thickBot="1">
      <c r="A11" s="171"/>
      <c r="B11" s="5">
        <v>6</v>
      </c>
      <c r="C11" s="3" t="s">
        <v>81</v>
      </c>
      <c r="D11" s="109">
        <v>1</v>
      </c>
      <c r="E11" s="106">
        <v>38.97</v>
      </c>
      <c r="F11" s="84">
        <f>(39.51+39.32+40.18+39.25+39.08+39.01+39.17+39.17+39.05+39.28+39.21+38.97+39.01+39.37+39.22+39.45+39.51+39.25+39.44+39.14+39.16+39.01+39.31+39.19+39.39+39.21+39.16+45.8+39.43+39.42+39.3+39.19+39.23+39.38+39.1+39.07+39.46+39.29+39.45+39.39+39.93+39.24+39.39+39.24+39.23+39.26+39.16+39.09+39.3+39.46+39.24+39.25+39.35+39.3+39.53+39.29+39.39+39.43+39.34+39.21+39.19+39.1+39.41)/63</f>
        <v>39.394603174603184</v>
      </c>
      <c r="G11" s="3">
        <v>216</v>
      </c>
      <c r="H11" s="3">
        <f t="shared" si="0"/>
        <v>65</v>
      </c>
      <c r="I11" s="20">
        <v>0.14129629629629628</v>
      </c>
      <c r="J11" s="20">
        <f t="shared" si="2"/>
        <v>3.1423611111111097E-2</v>
      </c>
      <c r="K11" s="23">
        <f>J11+K10</f>
        <v>7.7118055555555537E-2</v>
      </c>
      <c r="L11" s="29">
        <f t="shared" si="1"/>
        <v>0.42460317460318464</v>
      </c>
      <c r="M11" s="68"/>
    </row>
    <row r="12" spans="1:14" s="2" customFormat="1" ht="30" customHeight="1">
      <c r="A12" s="171"/>
      <c r="B12" s="5">
        <v>7</v>
      </c>
      <c r="C12" s="3" t="s">
        <v>82</v>
      </c>
      <c r="D12" s="109">
        <v>3</v>
      </c>
      <c r="E12" s="96">
        <v>38.97</v>
      </c>
      <c r="F12" s="84">
        <f>(40.13+39.7+39.43+39.19+39.11+39.3+38.97+38.99+39.14+39.33+39.16+39.01+39.03+39.07+39.1+39.25+39.09+39.75+39.14+39.03+39.32+39.13+39.19+39.45+39.22+39.22+39.78+39.39+39.34)/29</f>
        <v>39.274482758620699</v>
      </c>
      <c r="G12" s="3">
        <v>246</v>
      </c>
      <c r="H12" s="3">
        <f t="shared" si="0"/>
        <v>30</v>
      </c>
      <c r="I12" s="20">
        <v>0.15565972222222221</v>
      </c>
      <c r="J12" s="20">
        <f t="shared" si="2"/>
        <v>1.4363425925925932E-2</v>
      </c>
      <c r="K12" s="22">
        <f>J12+K9</f>
        <v>7.8541666666666676E-2</v>
      </c>
      <c r="L12" s="70">
        <f>F12-E12</f>
        <v>0.30448275862070062</v>
      </c>
      <c r="M12" s="77">
        <f>AVERAGE(L8,L10,L12)</f>
        <v>0.41045316977365803</v>
      </c>
      <c r="N12" s="2" t="s">
        <v>82</v>
      </c>
    </row>
    <row r="13" spans="1:14" s="2" customFormat="1" ht="30" customHeight="1" thickBot="1">
      <c r="A13" s="171"/>
      <c r="B13" s="79" t="s">
        <v>13</v>
      </c>
      <c r="C13" s="6" t="s">
        <v>81</v>
      </c>
      <c r="D13" s="118">
        <v>4</v>
      </c>
      <c r="E13" s="99">
        <v>39.11</v>
      </c>
      <c r="F13" s="100">
        <f>(39.37+39.52+39.35+39.37+39.6+39.39+39.58+39.3+39.29+39.22+39.32+39.39+39.26+39.26+39.37+39.32+39.25+39.41+39.11+39.17+39.13+39.26)/22</f>
        <v>39.329090909090908</v>
      </c>
      <c r="G13" s="30">
        <v>269</v>
      </c>
      <c r="H13" s="30">
        <f>G13-G12</f>
        <v>23</v>
      </c>
      <c r="I13" s="31">
        <v>0.16666666666666666</v>
      </c>
      <c r="J13" s="31">
        <f>I13-I12</f>
        <v>1.1006944444444444E-2</v>
      </c>
      <c r="K13" s="73">
        <f>J13+K11</f>
        <v>8.8124999999999981E-2</v>
      </c>
      <c r="L13" s="115">
        <f>F13-E13</f>
        <v>0.21909090909090878</v>
      </c>
      <c r="M13" s="78">
        <f>AVERAGE(L9,L11,L13)</f>
        <v>0.3555170755170825</v>
      </c>
      <c r="N13" s="2" t="s">
        <v>69</v>
      </c>
    </row>
    <row r="14" spans="1:14" ht="16.5" thickBot="1">
      <c r="A14" s="172"/>
      <c r="B14" s="186"/>
      <c r="C14" s="187"/>
      <c r="D14" s="188"/>
      <c r="E14" s="80">
        <f>AVERAGE(E6:E13)</f>
        <v>38.994285714285709</v>
      </c>
      <c r="F14" s="81">
        <f>AVERAGE(F6:F13)</f>
        <v>39.427985122645367</v>
      </c>
      <c r="G14" s="11"/>
      <c r="H14" s="11"/>
      <c r="I14" s="11"/>
      <c r="J14" s="11"/>
      <c r="K14" s="11"/>
      <c r="L14" s="11"/>
      <c r="M14" s="11"/>
    </row>
    <row r="16" spans="1:14">
      <c r="A16" s="72" t="s">
        <v>78</v>
      </c>
    </row>
    <row r="17" spans="1:1" ht="15.75">
      <c r="A17" s="28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opLeftCell="A2" zoomScale="90" zoomScaleNormal="90" workbookViewId="0">
      <selection activeCell="D24" sqref="D24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14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ht="10.5" customHeight="1"/>
    <row r="3" spans="1:14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4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14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14" s="2" customFormat="1" ht="30" customHeight="1" thickBot="1">
      <c r="A6" s="170" t="s">
        <v>16</v>
      </c>
      <c r="B6" s="35">
        <v>1</v>
      </c>
      <c r="C6" s="104" t="s">
        <v>89</v>
      </c>
      <c r="D6" s="108">
        <v>15</v>
      </c>
      <c r="E6" s="119"/>
      <c r="F6" s="85"/>
      <c r="G6" s="104"/>
      <c r="H6" s="62">
        <f>G6-0</f>
        <v>0</v>
      </c>
      <c r="I6" s="65">
        <v>1.4259259259259261E-2</v>
      </c>
      <c r="J6" s="65">
        <f>I6</f>
        <v>1.4259259259259261E-2</v>
      </c>
      <c r="K6" s="66">
        <f>J6</f>
        <v>1.4259259259259261E-2</v>
      </c>
      <c r="L6" s="76">
        <f>F6-E6</f>
        <v>0</v>
      </c>
      <c r="M6" s="67"/>
    </row>
    <row r="7" spans="1:14" s="2" customFormat="1" ht="30" customHeight="1" thickBot="1">
      <c r="A7" s="171"/>
      <c r="B7" s="5">
        <v>2</v>
      </c>
      <c r="C7" s="120" t="s">
        <v>88</v>
      </c>
      <c r="D7" s="109">
        <v>21</v>
      </c>
      <c r="E7" s="114">
        <v>38.9</v>
      </c>
      <c r="F7" s="84">
        <f>(39.18+38.9+39.08+39.21+39.25+39.4+39.76+39.42+39.43+39.73+39.34+39.26+39.39+39.46+39.5+39.39+39.3+39.55+39.5+39.18+39.62+40.76)/22</f>
        <v>39.436818181818175</v>
      </c>
      <c r="G7" s="89">
        <v>22</v>
      </c>
      <c r="H7" s="3">
        <f>G7-G6</f>
        <v>22</v>
      </c>
      <c r="I7" s="20">
        <v>4.8344907407407406E-2</v>
      </c>
      <c r="J7" s="20">
        <f t="shared" ref="J7:J11" si="0">I7-I6</f>
        <v>3.4085648148148143E-2</v>
      </c>
      <c r="K7" s="21">
        <f>J7</f>
        <v>3.4085648148148143E-2</v>
      </c>
      <c r="L7" s="29">
        <f t="shared" ref="L7:L13" si="1">F7-E7</f>
        <v>0.53681818181817675</v>
      </c>
      <c r="M7" s="68"/>
    </row>
    <row r="8" spans="1:14" s="2" customFormat="1" ht="30" customHeight="1">
      <c r="A8" s="171"/>
      <c r="B8" s="5">
        <v>3</v>
      </c>
      <c r="C8" s="89" t="s">
        <v>89</v>
      </c>
      <c r="D8" s="109">
        <v>88</v>
      </c>
      <c r="E8" s="116">
        <v>40.130000000000003</v>
      </c>
      <c r="F8" s="84">
        <f>(40.69+40.38+40.52+40.69+40.26+40.13+40.28+40.25+40.56+40.44+40.78+40.58+40.79+40.92+41.15+41.37+42.95+41.83+41.81+42.28+42.64)/21</f>
        <v>41.01428571428572</v>
      </c>
      <c r="G8" s="89">
        <v>44</v>
      </c>
      <c r="H8" s="3">
        <f t="shared" ref="H8:H12" si="2">G8-G7</f>
        <v>22</v>
      </c>
      <c r="I8" s="20">
        <v>5.9560185185185188E-2</v>
      </c>
      <c r="J8" s="20">
        <f t="shared" si="0"/>
        <v>1.1215277777777782E-2</v>
      </c>
      <c r="K8" s="21">
        <f>J8+K6</f>
        <v>2.5474537037037046E-2</v>
      </c>
      <c r="L8" s="29">
        <f t="shared" si="1"/>
        <v>0.88428571428571701</v>
      </c>
      <c r="M8" s="68"/>
    </row>
    <row r="9" spans="1:14" s="2" customFormat="1" ht="30" customHeight="1" thickBot="1">
      <c r="A9" s="171"/>
      <c r="B9" s="5">
        <v>4</v>
      </c>
      <c r="C9" s="89" t="s">
        <v>88</v>
      </c>
      <c r="D9" s="109">
        <v>3</v>
      </c>
      <c r="E9" s="118">
        <v>39.36</v>
      </c>
      <c r="F9" s="84">
        <f>(40.74+40.58+40.13+41.5+39.78+39.75+39.61+39.37+39.83+40.16+39.69+39.67+39.41+39.69+39.53+39.63+39.5+40.08+39.41+39.42+39.47+39.37+39.53+39.5+40.48+39.62+39.71+39.5+39.69+39.51+39.57+39.49+41.29+40.35+40.01+39.69+39.61+39.55+39.68+39.63+39.68+39.48+39.55+39.84+39.55+39.71+39.56+39.36+39.53+39.62+39.75+39.68+39.91)/53</f>
        <v>39.772641509433953</v>
      </c>
      <c r="G9" s="89">
        <v>98</v>
      </c>
      <c r="H9" s="3">
        <f t="shared" si="2"/>
        <v>54</v>
      </c>
      <c r="I9" s="20">
        <v>8.519675925925925E-2</v>
      </c>
      <c r="J9" s="20">
        <f t="shared" si="0"/>
        <v>2.5636574074074062E-2</v>
      </c>
      <c r="K9" s="23">
        <f>J9+K7</f>
        <v>5.9722222222222204E-2</v>
      </c>
      <c r="L9" s="29">
        <f t="shared" si="1"/>
        <v>0.4126415094339535</v>
      </c>
      <c r="M9" s="68"/>
    </row>
    <row r="10" spans="1:14" s="2" customFormat="1" ht="30" customHeight="1" thickBot="1">
      <c r="A10" s="171"/>
      <c r="B10" s="5">
        <v>5</v>
      </c>
      <c r="C10" s="89" t="s">
        <v>89</v>
      </c>
      <c r="D10" s="109">
        <v>9</v>
      </c>
      <c r="E10" s="106">
        <v>38.94</v>
      </c>
      <c r="F10" s="84">
        <f>(39.68+39.9+39.66+39.61+39.62+40.46+39.51+39.17+39.33+39.17+39.65+39.71+39.25+39.2+39.31+39.32+39.15+39.14+39.12+39.25+39.28+39.11+39.1+39.01+39.35+39.14+39.22+39.21+39.46+39.07+39.14+39.02+39.32+39.11+39.15+39.23+39.22+39.36+39.19+39.1+39.2+39.46+39.3+39.39+39.72+38.97+38.94+39.25+38.98+39.32+39.24+39.42+39.25+39.21+39.15+40.19+39.24+39.15+39.41+39.02+39.02+39.43)/62</f>
        <v>39.310645161290324</v>
      </c>
      <c r="G10" s="89">
        <v>162</v>
      </c>
      <c r="H10" s="3">
        <f t="shared" si="2"/>
        <v>64</v>
      </c>
      <c r="I10" s="20">
        <v>0.12142361111111111</v>
      </c>
      <c r="J10" s="20">
        <f t="shared" si="0"/>
        <v>3.6226851851851857E-2</v>
      </c>
      <c r="K10" s="23">
        <f>K8+J10</f>
        <v>6.1701388888888903E-2</v>
      </c>
      <c r="L10" s="70">
        <f t="shared" si="1"/>
        <v>0.37064516129032654</v>
      </c>
      <c r="M10" s="68"/>
    </row>
    <row r="11" spans="1:14" s="2" customFormat="1" ht="30" customHeight="1">
      <c r="A11" s="171"/>
      <c r="B11" s="5">
        <v>6</v>
      </c>
      <c r="C11" s="89" t="s">
        <v>88</v>
      </c>
      <c r="D11" s="109">
        <v>13</v>
      </c>
      <c r="E11" s="99">
        <v>39.11</v>
      </c>
      <c r="F11" s="84">
        <f>(40.1+40.01+39.97+39.7+39.44+39.43+39.4+39.51+39.41+39.54+39.51+39.32+39.34+39.65+39.35+39.52+39.48+39.29+39.38+39.49+39.36+39.13+39.34+39.61+39.36+39.54+39.4+39.49+39.42+39.35+39.11+39.26+39.82)/33</f>
        <v>39.485757575757575</v>
      </c>
      <c r="G11" s="89">
        <v>196</v>
      </c>
      <c r="H11" s="3">
        <f t="shared" si="2"/>
        <v>34</v>
      </c>
      <c r="I11" s="20">
        <v>0.13149305555555554</v>
      </c>
      <c r="J11" s="20">
        <f t="shared" si="0"/>
        <v>1.0069444444444436E-2</v>
      </c>
      <c r="K11" s="23">
        <f>K9+J11</f>
        <v>6.9791666666666641E-2</v>
      </c>
      <c r="L11" s="29">
        <f t="shared" si="1"/>
        <v>0.37575757575757507</v>
      </c>
      <c r="M11" s="68"/>
    </row>
    <row r="12" spans="1:14" s="2" customFormat="1" ht="30" customHeight="1">
      <c r="A12" s="171"/>
      <c r="B12" s="5">
        <v>7</v>
      </c>
      <c r="C12" s="89" t="s">
        <v>89</v>
      </c>
      <c r="D12" s="109">
        <v>11</v>
      </c>
      <c r="E12" s="97">
        <v>39.159999999999997</v>
      </c>
      <c r="F12" s="84">
        <f>(39.75+39.88+39.66+39.68+39.86+39.59+39.7+39.4+39.83+39.67+39.47+39.56+40.49+39.36+39.16+39.48+39.37+39.35+39.45+39.54+39.57+39.77+39.62+39.36+39.59+39.3+39.33+39.81+39.4+39.56+39.46+39.41+39.65+39.82)/34</f>
        <v>39.585294117647059</v>
      </c>
      <c r="G12" s="89">
        <v>232</v>
      </c>
      <c r="H12" s="3">
        <f t="shared" si="2"/>
        <v>36</v>
      </c>
      <c r="I12" s="20">
        <v>0.14974537037037036</v>
      </c>
      <c r="J12" s="20">
        <f>I12-I11</f>
        <v>1.8252314814814818E-2</v>
      </c>
      <c r="K12" s="22">
        <f>K10+J12</f>
        <v>7.9953703703703721E-2</v>
      </c>
      <c r="L12" s="29">
        <f t="shared" si="1"/>
        <v>0.42529411764706282</v>
      </c>
      <c r="M12" s="77">
        <f>AVERAGE(L8,L10,L12)</f>
        <v>0.56007499774103542</v>
      </c>
      <c r="N12" s="2" t="s">
        <v>99</v>
      </c>
    </row>
    <row r="13" spans="1:14" s="2" customFormat="1" ht="30" customHeight="1" thickBot="1">
      <c r="A13" s="171"/>
      <c r="B13" s="79" t="s">
        <v>13</v>
      </c>
      <c r="C13" s="118" t="s">
        <v>88</v>
      </c>
      <c r="D13" s="118">
        <v>2</v>
      </c>
      <c r="E13" s="99">
        <v>39.07</v>
      </c>
      <c r="F13" s="100">
        <f>(41.5+39.47+39.41+39.31+39.54+39.08+39.13+39.44+40.07+39.11+39.45+39.28+39.34+39.35+39.55+39.44+39.3+39.44+39.35+39.41+39.42+39.42+39.46+39.43+39.07+39.35+39.37+39.5+39.45+39.19+39.32+39.19+39.35+39.32+39.5)/35</f>
        <v>39.437428571428562</v>
      </c>
      <c r="G13" s="105">
        <v>268</v>
      </c>
      <c r="H13" s="30">
        <f>G13-G12</f>
        <v>36</v>
      </c>
      <c r="I13" s="31">
        <v>0.16666666666666666</v>
      </c>
      <c r="J13" s="31">
        <f>I13-I12</f>
        <v>1.6921296296296295E-2</v>
      </c>
      <c r="K13" s="73">
        <f>K11+J13</f>
        <v>8.6712962962962936E-2</v>
      </c>
      <c r="L13" s="115">
        <f t="shared" si="1"/>
        <v>0.36742857142856167</v>
      </c>
      <c r="M13" s="78">
        <f>AVERAGE(L7,L9,L11,L13)</f>
        <v>0.42316145960956675</v>
      </c>
      <c r="N13" s="2" t="s">
        <v>69</v>
      </c>
    </row>
    <row r="14" spans="1:14" ht="16.5" thickBot="1">
      <c r="A14" s="172"/>
      <c r="B14" s="186"/>
      <c r="C14" s="187"/>
      <c r="D14" s="188"/>
      <c r="E14" s="80">
        <f>AVERAGE(E6:E13)</f>
        <v>39.238571428571433</v>
      </c>
      <c r="F14" s="81">
        <f>AVERAGE(F6:F13)</f>
        <v>39.720410118808772</v>
      </c>
      <c r="G14" s="11"/>
      <c r="H14" s="11"/>
      <c r="I14" s="11"/>
      <c r="J14" s="11"/>
      <c r="K14" s="11"/>
      <c r="L14" s="11"/>
      <c r="M14" s="11"/>
    </row>
    <row r="16" spans="1:14">
      <c r="A16" s="72" t="s">
        <v>78</v>
      </c>
    </row>
    <row r="17" spans="1:1" ht="15.75">
      <c r="A17" s="28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zoomScale="90" zoomScaleNormal="90" workbookViewId="0">
      <selection activeCell="L6" sqref="L6:L7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20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20" ht="10.5" customHeight="1"/>
    <row r="3" spans="1:20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20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20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20" s="2" customFormat="1" ht="30" customHeight="1">
      <c r="A6" s="170" t="s">
        <v>65</v>
      </c>
      <c r="B6" s="35">
        <v>1</v>
      </c>
      <c r="C6" s="104" t="s">
        <v>64</v>
      </c>
      <c r="D6" s="108">
        <v>1</v>
      </c>
      <c r="E6" s="86"/>
      <c r="F6" s="85"/>
      <c r="G6" s="104"/>
      <c r="H6" s="62">
        <f>G6-0</f>
        <v>0</v>
      </c>
      <c r="I6" s="65">
        <v>1.4386574074074072E-2</v>
      </c>
      <c r="J6" s="65">
        <f>I6</f>
        <v>1.4386574074074072E-2</v>
      </c>
      <c r="K6" s="66">
        <f>J6</f>
        <v>1.4386574074074072E-2</v>
      </c>
      <c r="L6" s="76"/>
      <c r="M6" s="67"/>
    </row>
    <row r="7" spans="1:20" s="2" customFormat="1" ht="30" customHeight="1">
      <c r="A7" s="171"/>
      <c r="B7" s="5">
        <v>2</v>
      </c>
      <c r="C7" s="120" t="s">
        <v>63</v>
      </c>
      <c r="D7" s="113" t="s">
        <v>100</v>
      </c>
      <c r="E7" s="102"/>
      <c r="F7" s="84"/>
      <c r="G7" s="89"/>
      <c r="H7" s="3">
        <f>G7-G6</f>
        <v>0</v>
      </c>
      <c r="I7" s="20">
        <v>3.5740740740740747E-2</v>
      </c>
      <c r="J7" s="20">
        <f>I7-I6</f>
        <v>2.1354166666666674E-2</v>
      </c>
      <c r="K7" s="21">
        <f>J7</f>
        <v>2.1354166666666674E-2</v>
      </c>
      <c r="L7" s="29"/>
      <c r="M7" s="68"/>
    </row>
    <row r="8" spans="1:20" s="2" customFormat="1" ht="30" customHeight="1">
      <c r="A8" s="171"/>
      <c r="B8" s="5">
        <v>3</v>
      </c>
      <c r="C8" s="89" t="s">
        <v>64</v>
      </c>
      <c r="D8" s="109">
        <v>4</v>
      </c>
      <c r="E8" s="116">
        <v>39.299999999999997</v>
      </c>
      <c r="F8" s="84">
        <f>(41.34+41.21+42.11+43.02+39.9+40.21+39.56+39.72+40.74+39.73+39.51+39.81+39.65+39.3+39.57+39.72+40.42+39.51+39.58+39.69+39.7+39.53+39.48+39.49+39.56+39.51+39.6+39.48+39.56+39.42+39.57+40.16+40.35+40.33+40.14+40.15+40.58+40.69+40.99+41.02+42.01+41.88)/42</f>
        <v>40.178571428571431</v>
      </c>
      <c r="G8" s="89">
        <v>43</v>
      </c>
      <c r="H8" s="3">
        <f t="shared" ref="H8:H12" si="0">G8-G7</f>
        <v>43</v>
      </c>
      <c r="I8" s="20">
        <v>5.9236111111111107E-2</v>
      </c>
      <c r="J8" s="20">
        <f>I8-I7</f>
        <v>2.3495370370370361E-2</v>
      </c>
      <c r="K8" s="21">
        <f>J8+J6</f>
        <v>3.7881944444444433E-2</v>
      </c>
      <c r="L8" s="29">
        <f t="shared" ref="L7:L13" si="1">F8-E8</f>
        <v>0.87857142857143344</v>
      </c>
      <c r="M8" s="68"/>
    </row>
    <row r="9" spans="1:20" s="2" customFormat="1" ht="30" customHeight="1" thickBot="1">
      <c r="A9" s="171"/>
      <c r="B9" s="5">
        <v>4</v>
      </c>
      <c r="C9" s="89" t="s">
        <v>63</v>
      </c>
      <c r="D9" s="109">
        <v>15</v>
      </c>
      <c r="E9" s="118">
        <v>39.01</v>
      </c>
      <c r="F9" s="84">
        <f>(41.1+40.23+40.53+40.42+40.13+39.59+40.14+39.8+40.73+39.72+39.47+39.49+39.41+39.13+39.44+39.55+39.42+39.23+39.13+39.23+39.3+39.42+39.18+39.32+39.01+39.36+39.32+39.49+39.39+39.28+39.31+39.22+39.34+39.08+39.35+39.55+39.49+40.55+39.58+39.34+39.42+55.26+39.42+39.43+39.38+39.36+39.83+39.7+39.18+39.51+39.41+39.26+39.31+39.19+39.53+39.84+39.15+39.58+39.44+39.13+39.45+39.62+40.17)/63</f>
        <v>39.79904761904762</v>
      </c>
      <c r="G9" s="89">
        <v>107</v>
      </c>
      <c r="H9" s="3">
        <f t="shared" si="0"/>
        <v>64</v>
      </c>
      <c r="I9" s="20">
        <v>8.9479166666666665E-2</v>
      </c>
      <c r="J9" s="20">
        <f t="shared" ref="J9:J12" si="2">I9-I8</f>
        <v>3.0243055555555558E-2</v>
      </c>
      <c r="K9" s="23">
        <f>J9+J7</f>
        <v>5.1597222222222232E-2</v>
      </c>
      <c r="L9" s="29">
        <f t="shared" si="1"/>
        <v>0.78904761904762211</v>
      </c>
      <c r="M9" s="68"/>
    </row>
    <row r="10" spans="1:20" s="2" customFormat="1" ht="30" customHeight="1" thickBot="1">
      <c r="A10" s="171"/>
      <c r="B10" s="5">
        <v>5</v>
      </c>
      <c r="C10" s="89" t="s">
        <v>64</v>
      </c>
      <c r="D10" s="109">
        <v>4</v>
      </c>
      <c r="E10" s="106">
        <v>39.18</v>
      </c>
      <c r="F10" s="84">
        <f>(39.87+39.52+39.67+39.87+39.73+39.77+39.42+39.63+39.85+39.5+39.71+39.78+39.99+39.61+39.72+39.72+39.71+39.69+39.6+39.36+40.11+39.76+39.64+39.51+39.48+39.54+39.65+39.72+39.54+39.31+39.67+39.58+39.58+39.5+39.71+39.7+39.52+39.83+39.52+39.52+39.66+39.18+39.73)/43</f>
        <v>39.643720930232568</v>
      </c>
      <c r="G10" s="89">
        <v>151</v>
      </c>
      <c r="H10" s="3">
        <f t="shared" si="0"/>
        <v>44</v>
      </c>
      <c r="I10" s="20">
        <v>0.11040509259259258</v>
      </c>
      <c r="J10" s="20">
        <f t="shared" si="2"/>
        <v>2.0925925925925917E-2</v>
      </c>
      <c r="K10" s="23">
        <f>J10+K8</f>
        <v>5.8807870370370351E-2</v>
      </c>
      <c r="L10" s="70">
        <f t="shared" si="1"/>
        <v>0.46372093023256866</v>
      </c>
      <c r="M10" s="68"/>
    </row>
    <row r="11" spans="1:20" s="2" customFormat="1" ht="30" customHeight="1">
      <c r="A11" s="171"/>
      <c r="B11" s="5">
        <v>6</v>
      </c>
      <c r="C11" s="89" t="s">
        <v>63</v>
      </c>
      <c r="D11" s="113" t="s">
        <v>101</v>
      </c>
      <c r="E11" s="99">
        <v>39.4</v>
      </c>
      <c r="F11" s="84">
        <f>(40.33+39.89+40.24+39.93+39.89+40.06+40.35+41.04+40+39.71+39.5+39.62+39.54+39.43+39.75+39.53+39.4+39.87+39.7+39.55+39.54+39.72+39.71+39.72)/24</f>
        <v>39.834166666666668</v>
      </c>
      <c r="G11" s="89">
        <v>177</v>
      </c>
      <c r="H11" s="3">
        <f t="shared" si="0"/>
        <v>26</v>
      </c>
      <c r="I11" s="20">
        <v>0.12391203703703703</v>
      </c>
      <c r="J11" s="20">
        <f t="shared" si="2"/>
        <v>1.3506944444444446E-2</v>
      </c>
      <c r="K11" s="23">
        <f>J11+K9</f>
        <v>6.5104166666666685E-2</v>
      </c>
      <c r="L11" s="82">
        <f t="shared" si="1"/>
        <v>0.4341666666666697</v>
      </c>
      <c r="M11" s="68"/>
      <c r="O11" s="26"/>
      <c r="P11" s="26"/>
      <c r="Q11" s="26"/>
      <c r="R11" s="26"/>
      <c r="S11" s="26"/>
      <c r="T11" s="26"/>
    </row>
    <row r="12" spans="1:20" s="2" customFormat="1" ht="30" customHeight="1" thickBot="1">
      <c r="A12" s="171"/>
      <c r="B12" s="5">
        <v>7</v>
      </c>
      <c r="C12" s="89" t="s">
        <v>64</v>
      </c>
      <c r="D12" s="109">
        <v>12</v>
      </c>
      <c r="E12" s="98">
        <v>39.229999999999997</v>
      </c>
      <c r="F12" s="84">
        <f>(40.41+40.48+40.18+40.32+40.22+40.21+40.31+40.1+40.29+40.87+40.06+39.74+40.02+40.08+39.82+39.47+39.93+39.91+40.69+40.15+40.06+39.6+39.74+39.59+39.64+39.71+39.79+39.84+40.05+39.98+40.07+39.82+39.75+39.23+39.44+39.78+39.69+39.49+39.62+39.48+40.06+39.39+39.47+39.86+39.54+40.21+39.47+40.07+39.71+39.58+40.03)/51</f>
        <v>39.902352941176467</v>
      </c>
      <c r="G12" s="89">
        <v>230</v>
      </c>
      <c r="H12" s="3">
        <f t="shared" si="0"/>
        <v>53</v>
      </c>
      <c r="I12" s="20">
        <v>0.1494675925925926</v>
      </c>
      <c r="J12" s="20">
        <f t="shared" si="2"/>
        <v>2.5555555555555567E-2</v>
      </c>
      <c r="K12" s="22">
        <f>J12+K10</f>
        <v>8.4363425925925911E-2</v>
      </c>
      <c r="L12" s="29">
        <f t="shared" si="1"/>
        <v>0.67235294117647015</v>
      </c>
      <c r="M12" s="77">
        <f>AVERAGE(L8,L10,L12)</f>
        <v>0.67154843332682412</v>
      </c>
      <c r="N12" s="2" t="s">
        <v>69</v>
      </c>
    </row>
    <row r="13" spans="1:20" s="2" customFormat="1" ht="30" customHeight="1" thickBot="1">
      <c r="A13" s="171"/>
      <c r="B13" s="79" t="s">
        <v>13</v>
      </c>
      <c r="C13" s="118" t="s">
        <v>63</v>
      </c>
      <c r="D13" s="121">
        <v>1</v>
      </c>
      <c r="E13" s="94">
        <v>38.89</v>
      </c>
      <c r="F13" s="122">
        <f>(39.53+39.06+39.21+39.07+38.95+39.09+39.38+39.38+39.47+39.99+39.87+39.7+39.53+39.78+40.09+39.88+39.7+39.34+39.12+39.2+39.23+38.96+39.26+39.33+39.21+38.92+39.43+39.12+39.26+38.89+39.1+39.31+39.22+39.87+39.48+39.58)/36</f>
        <v>39.375277777777775</v>
      </c>
      <c r="G13" s="105">
        <v>267</v>
      </c>
      <c r="H13" s="30">
        <f>G13-G12</f>
        <v>37</v>
      </c>
      <c r="I13" s="31">
        <v>0.16666666666666666</v>
      </c>
      <c r="J13" s="31">
        <f>I13-I12</f>
        <v>1.7199074074074061E-2</v>
      </c>
      <c r="K13" s="73">
        <f>J13+K11</f>
        <v>8.2303240740740746E-2</v>
      </c>
      <c r="L13" s="71">
        <f t="shared" si="1"/>
        <v>0.48527777777777459</v>
      </c>
      <c r="M13" s="78">
        <f>AVERAGE(L9,L11,L13)</f>
        <v>0.5694973544973555</v>
      </c>
      <c r="N13" s="2" t="s">
        <v>102</v>
      </c>
    </row>
    <row r="14" spans="1:20" ht="16.5" thickBot="1">
      <c r="A14" s="172"/>
      <c r="B14" s="186"/>
      <c r="C14" s="187"/>
      <c r="D14" s="188"/>
      <c r="E14" s="80">
        <f>AVERAGE(E6:E13)</f>
        <v>39.168333333333329</v>
      </c>
      <c r="F14" s="81">
        <f>AVERAGE(F6:F13)</f>
        <v>39.788856227245425</v>
      </c>
      <c r="G14" s="11"/>
      <c r="H14" s="11"/>
      <c r="I14" s="11"/>
      <c r="J14" s="11"/>
      <c r="K14" s="11"/>
      <c r="L14" s="11"/>
      <c r="M14" s="11"/>
    </row>
    <row r="16" spans="1:20">
      <c r="A16" s="72" t="s">
        <v>78</v>
      </c>
    </row>
    <row r="17" spans="1:1" ht="15.75">
      <c r="A17" s="28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opLeftCell="B1" zoomScale="90" zoomScaleNormal="90" workbookViewId="0">
      <selection activeCell="D9" sqref="D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14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ht="10.5" customHeight="1"/>
    <row r="3" spans="1:14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4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14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14" s="2" customFormat="1" ht="30" customHeight="1">
      <c r="A6" s="170" t="s">
        <v>51</v>
      </c>
      <c r="B6" s="35">
        <v>1</v>
      </c>
      <c r="C6" s="62" t="s">
        <v>90</v>
      </c>
      <c r="D6" s="108">
        <v>21</v>
      </c>
      <c r="E6" s="86"/>
      <c r="F6" s="85"/>
      <c r="G6" s="104"/>
      <c r="H6" s="62">
        <f>G6-0</f>
        <v>0</v>
      </c>
      <c r="I6" s="65">
        <v>1.2569444444444446E-2</v>
      </c>
      <c r="J6" s="65">
        <f>I6</f>
        <v>1.2569444444444446E-2</v>
      </c>
      <c r="K6" s="66">
        <f>J6</f>
        <v>1.2569444444444446E-2</v>
      </c>
      <c r="L6" s="76">
        <f>F6-E6</f>
        <v>0</v>
      </c>
      <c r="M6" s="67"/>
    </row>
    <row r="7" spans="1:14" s="2" customFormat="1" ht="30" customHeight="1">
      <c r="A7" s="171"/>
      <c r="B7" s="5">
        <v>2</v>
      </c>
      <c r="C7" s="27" t="s">
        <v>18</v>
      </c>
      <c r="D7" s="109">
        <v>4</v>
      </c>
      <c r="E7" s="89"/>
      <c r="F7" s="84"/>
      <c r="G7" s="89"/>
      <c r="H7" s="3">
        <f>G7-G6</f>
        <v>0</v>
      </c>
      <c r="I7" s="20">
        <v>3.4479166666666665E-2</v>
      </c>
      <c r="J7" s="20">
        <f>I7-I6</f>
        <v>2.1909722222222219E-2</v>
      </c>
      <c r="K7" s="21">
        <f>J7</f>
        <v>2.1909722222222219E-2</v>
      </c>
      <c r="L7" s="29">
        <f t="shared" ref="L7:L13" si="0">F7-E7</f>
        <v>0</v>
      </c>
      <c r="M7" s="68"/>
    </row>
    <row r="8" spans="1:14" s="2" customFormat="1" ht="30" customHeight="1" thickBot="1">
      <c r="A8" s="171"/>
      <c r="B8" s="5">
        <v>3</v>
      </c>
      <c r="C8" s="3" t="s">
        <v>90</v>
      </c>
      <c r="D8" s="109">
        <v>15</v>
      </c>
      <c r="E8" s="116">
        <v>39.299999999999997</v>
      </c>
      <c r="F8" s="84">
        <f>(39.7+39.5+39.5+39.48+40.36+39.69+39.35+39.3+40.29+39.5+39.8+39.55+39.55+39.49+39.78+39.48+39.96+40.2+39.64+40.21+40.21+39.7+39.61+39.68+39.45+39.99)/26</f>
        <v>39.729615384615393</v>
      </c>
      <c r="G8" s="89">
        <v>26</v>
      </c>
      <c r="H8" s="3">
        <f t="shared" ref="H8:H12" si="1">G8-G7</f>
        <v>26</v>
      </c>
      <c r="I8" s="20">
        <v>5.0439814814814819E-2</v>
      </c>
      <c r="J8" s="20">
        <f>I8-I7</f>
        <v>1.5960648148148154E-2</v>
      </c>
      <c r="K8" s="21">
        <f>J8+J6</f>
        <v>2.85300925925926E-2</v>
      </c>
      <c r="L8" s="70">
        <f t="shared" si="0"/>
        <v>0.42961538461539561</v>
      </c>
      <c r="M8" s="68"/>
    </row>
    <row r="9" spans="1:14" s="2" customFormat="1" ht="30" customHeight="1" thickBot="1">
      <c r="A9" s="171"/>
      <c r="B9" s="5">
        <v>4</v>
      </c>
      <c r="C9" s="3" t="s">
        <v>18</v>
      </c>
      <c r="D9" s="109">
        <v>9</v>
      </c>
      <c r="E9" s="94">
        <v>38.89</v>
      </c>
      <c r="F9" s="199">
        <f>(39.98+40.86+39.68+39.54+39.45+39.6+39.92+39.77+39.91+40.14+40.03+40.75+41.84+41.09+41.07+40.9+40.67+40.9+40.39+40.16+39.76+39.65+39.38+39.38+39.4+39.29+39.84+39.83+39.35+39.42+39.01+39.22+39.19+39.13+39.17+39.16+38.98+39.19+39.09+39.08+39.27+39.15+39.04+39.06+39.64+39.21+39.04+38.89+39.21+39.06+38.97+39.08+40.42+39.08+39.03+39.46+39.22+39.27+39.18+39.92)/60</f>
        <v>39.639499999999998</v>
      </c>
      <c r="G9" s="89">
        <v>87</v>
      </c>
      <c r="H9" s="3">
        <f t="shared" si="1"/>
        <v>61</v>
      </c>
      <c r="I9" s="20">
        <v>7.9178240740740743E-2</v>
      </c>
      <c r="J9" s="20">
        <f t="shared" ref="J9:J12" si="2">I9-I8</f>
        <v>2.8738425925925924E-2</v>
      </c>
      <c r="K9" s="23">
        <f>J9+J7</f>
        <v>5.0648148148148144E-2</v>
      </c>
      <c r="L9" s="29">
        <f t="shared" si="0"/>
        <v>0.74949999999999761</v>
      </c>
      <c r="M9" s="68"/>
    </row>
    <row r="10" spans="1:14" s="2" customFormat="1" ht="30" customHeight="1" thickBot="1">
      <c r="A10" s="171"/>
      <c r="B10" s="5">
        <v>5</v>
      </c>
      <c r="C10" s="3" t="s">
        <v>90</v>
      </c>
      <c r="D10" s="109">
        <v>21</v>
      </c>
      <c r="E10" s="106">
        <v>39.229999999999997</v>
      </c>
      <c r="F10" s="84">
        <f>(40.1+39.47+39.89+39.7+39.52+39.86+39.46+39.45+39.63+39.54+39.69+39.74+40.17+40+39.34+39.62+39.57+39.56+40.02+39.95+39.61+39.7+39.6+40.76+40.75+39.76+39.84+39.72+40.55+40.71+40.31+39.88+39.72+39.78+39.57+39.68+39.57+39.36+39.36+39.4+39.57+39.66+39.28+39.72+39.46+39.65+39.23+39.73+39.4+39.35+39.53+39.52+39.64+39.28+39.56+39.75+40.11+39.58+39.44+39.44+39.85+41.58)/62</f>
        <v>39.745806451612907</v>
      </c>
      <c r="G10" s="89">
        <v>150</v>
      </c>
      <c r="H10" s="3">
        <f t="shared" si="1"/>
        <v>63</v>
      </c>
      <c r="I10" s="20">
        <v>0.10893518518518519</v>
      </c>
      <c r="J10" s="20">
        <f t="shared" si="2"/>
        <v>2.9756944444444447E-2</v>
      </c>
      <c r="K10" s="23">
        <f>J10+K8</f>
        <v>5.8287037037037047E-2</v>
      </c>
      <c r="L10" s="29">
        <f t="shared" si="0"/>
        <v>0.51580645161291017</v>
      </c>
      <c r="M10" s="68"/>
    </row>
    <row r="11" spans="1:14" s="2" customFormat="1" ht="30" customHeight="1">
      <c r="A11" s="171"/>
      <c r="B11" s="5">
        <v>6</v>
      </c>
      <c r="C11" s="3" t="s">
        <v>18</v>
      </c>
      <c r="D11" s="109">
        <v>14</v>
      </c>
      <c r="E11" s="96">
        <v>39.619999999999997</v>
      </c>
      <c r="F11" s="84">
        <f>(40.47+40.43+40.32+39.96+40.02+40.14+39.87+39.87+40.38+40.18+40.16+40.78+39.82+39.99+40.11+39.87+40.1+40.32+39.96+39.99+40.54+39.62+40.03+40.43+40.46+40.95)/26</f>
        <v>40.183461538461543</v>
      </c>
      <c r="G11" s="89">
        <v>177</v>
      </c>
      <c r="H11" s="3">
        <f t="shared" si="1"/>
        <v>27</v>
      </c>
      <c r="I11" s="20">
        <v>0.12223379629629628</v>
      </c>
      <c r="J11" s="20">
        <f t="shared" si="2"/>
        <v>1.3298611111111094E-2</v>
      </c>
      <c r="K11" s="23">
        <f>J11+K9</f>
        <v>6.3946759259259245E-2</v>
      </c>
      <c r="L11" s="29">
        <f t="shared" si="0"/>
        <v>0.56346153846154579</v>
      </c>
      <c r="M11" s="68"/>
    </row>
    <row r="12" spans="1:14" s="2" customFormat="1" ht="30" customHeight="1">
      <c r="A12" s="171"/>
      <c r="B12" s="5">
        <v>7</v>
      </c>
      <c r="C12" s="3" t="s">
        <v>90</v>
      </c>
      <c r="D12" s="109">
        <v>88</v>
      </c>
      <c r="E12" s="96">
        <v>39.78</v>
      </c>
      <c r="F12" s="84">
        <f>(40.03+40.09+40.12+40.22+39.96+39.89+40.04+39.78+40.03+40.06+40.46+40.23+40.47+40.06+46.66+40.39+40.1+40.13+40.04+40.08+40.16+40.28+39.94+39.99+40.14+40.73+40.14+40.23+40.31+40.08+40.2+40.59+40.5+40.37+40.26+40.63+40.4+40.27)/38</f>
        <v>40.369999999999997</v>
      </c>
      <c r="G12" s="89">
        <v>216</v>
      </c>
      <c r="H12" s="3">
        <f t="shared" si="1"/>
        <v>39</v>
      </c>
      <c r="I12" s="20">
        <v>0.14122685185185185</v>
      </c>
      <c r="J12" s="20">
        <f t="shared" si="2"/>
        <v>1.8993055555555569E-2</v>
      </c>
      <c r="K12" s="22">
        <f>J12+K10</f>
        <v>7.7280092592592609E-2</v>
      </c>
      <c r="L12" s="29">
        <f t="shared" si="0"/>
        <v>0.58999999999999631</v>
      </c>
      <c r="M12" s="77">
        <f>AVERAGE(L8,L10,L12)</f>
        <v>0.51180727874276732</v>
      </c>
      <c r="N12" s="2" t="s">
        <v>59</v>
      </c>
    </row>
    <row r="13" spans="1:14" s="2" customFormat="1" ht="30" customHeight="1" thickBot="1">
      <c r="A13" s="171"/>
      <c r="B13" s="79" t="s">
        <v>13</v>
      </c>
      <c r="C13" s="6" t="s">
        <v>18</v>
      </c>
      <c r="D13" s="118">
        <v>13</v>
      </c>
      <c r="E13" s="99">
        <v>40.22</v>
      </c>
      <c r="F13" s="100">
        <f>(41.46+42.12+40.71+41.06+40.67+40.6+40.58+40.61+40.38+41.03+40.56+40.52+40.45+40.46+40.44+40.38+40.38+41.82+40.7+40.52+40.53+41.22+40.63+40.64+40.5+40.46+40.65+40.5+40.57+40.44+40.4+40.95+40.5+40.4+40.52+41.73+40.46+40.53+40.47+40.23+40.58+41.74+40.39+40.36+40.35+40.32+40.37)/47</f>
        <v>40.678510638297873</v>
      </c>
      <c r="G13" s="105">
        <v>265</v>
      </c>
      <c r="H13" s="30">
        <f>G13-G12</f>
        <v>49</v>
      </c>
      <c r="I13" s="31">
        <v>0.16666666666666666</v>
      </c>
      <c r="J13" s="31">
        <f>I13-I12</f>
        <v>2.5439814814814804E-2</v>
      </c>
      <c r="K13" s="73">
        <f>J13+K11</f>
        <v>8.9386574074074049E-2</v>
      </c>
      <c r="L13" s="115">
        <f t="shared" si="0"/>
        <v>0.45851063829787364</v>
      </c>
      <c r="M13" s="78">
        <f>AVERAGE(L9,L11,L13)</f>
        <v>0.59049072558647231</v>
      </c>
      <c r="N13" s="2" t="s">
        <v>58</v>
      </c>
    </row>
    <row r="14" spans="1:14" ht="16.5" thickBot="1">
      <c r="A14" s="172"/>
      <c r="B14" s="186"/>
      <c r="C14" s="187"/>
      <c r="D14" s="188"/>
      <c r="E14" s="80">
        <f>AVERAGE(E6:E13)</f>
        <v>39.506666666666668</v>
      </c>
      <c r="F14" s="81">
        <f>AVERAGE(F6:F13)</f>
        <v>40.057815668831282</v>
      </c>
      <c r="G14" s="11"/>
      <c r="H14" s="11"/>
      <c r="I14" s="11"/>
      <c r="J14" s="11"/>
      <c r="K14" s="11"/>
      <c r="L14" s="11"/>
      <c r="M14" s="11"/>
    </row>
    <row r="16" spans="1:14">
      <c r="A16" s="72" t="s">
        <v>78</v>
      </c>
      <c r="B16" s="72" t="s">
        <v>78</v>
      </c>
    </row>
    <row r="17" spans="1:1" ht="15.75">
      <c r="A17" s="28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zoomScale="90" zoomScaleNormal="90" workbookViewId="0">
      <selection activeCell="A6" sqref="A6:A15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39" customWidth="1"/>
    <col min="6" max="6" width="16.5703125" style="39" customWidth="1"/>
    <col min="7" max="8" width="9.42578125" style="39" customWidth="1"/>
    <col min="9" max="9" width="15.7109375" style="39" customWidth="1"/>
    <col min="10" max="10" width="12.85546875" style="39" customWidth="1"/>
    <col min="11" max="11" width="14.7109375" style="39" customWidth="1"/>
    <col min="12" max="12" width="10.5703125" style="39" customWidth="1"/>
    <col min="13" max="13" width="9.140625" style="39"/>
  </cols>
  <sheetData>
    <row r="1" spans="1:14" ht="19.5">
      <c r="A1" s="168" t="s">
        <v>70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ht="10.5" customHeight="1"/>
    <row r="3" spans="1:14" ht="15.75" customHeight="1" thickBot="1">
      <c r="A3" s="169" t="s">
        <v>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4" s="1" customFormat="1" ht="25.5" customHeight="1">
      <c r="A4" s="153" t="s">
        <v>6</v>
      </c>
      <c r="B4" s="177" t="s">
        <v>7</v>
      </c>
      <c r="C4" s="179" t="s">
        <v>2</v>
      </c>
      <c r="D4" s="191" t="s">
        <v>5</v>
      </c>
      <c r="E4" s="183" t="s">
        <v>71</v>
      </c>
      <c r="F4" s="183" t="s">
        <v>54</v>
      </c>
      <c r="G4" s="179" t="s">
        <v>72</v>
      </c>
      <c r="H4" s="179" t="s">
        <v>73</v>
      </c>
      <c r="I4" s="179" t="s">
        <v>55</v>
      </c>
      <c r="J4" s="149" t="s">
        <v>14</v>
      </c>
      <c r="K4" s="194"/>
      <c r="L4" s="149" t="s">
        <v>74</v>
      </c>
      <c r="M4" s="189"/>
      <c r="N4" s="39"/>
    </row>
    <row r="5" spans="1:14" s="1" customFormat="1" ht="22.5" customHeight="1" thickBot="1">
      <c r="A5" s="155"/>
      <c r="B5" s="190"/>
      <c r="C5" s="185"/>
      <c r="D5" s="192"/>
      <c r="E5" s="193"/>
      <c r="F5" s="193"/>
      <c r="G5" s="185"/>
      <c r="H5" s="185"/>
      <c r="I5" s="185"/>
      <c r="J5" s="33" t="s">
        <v>1</v>
      </c>
      <c r="K5" s="33" t="s">
        <v>0</v>
      </c>
      <c r="L5" s="74" t="s">
        <v>75</v>
      </c>
      <c r="M5" s="75" t="s">
        <v>76</v>
      </c>
      <c r="N5" s="39"/>
    </row>
    <row r="6" spans="1:14" s="2" customFormat="1" ht="30" customHeight="1">
      <c r="A6" s="170" t="s">
        <v>67</v>
      </c>
      <c r="B6" s="35">
        <v>1</v>
      </c>
      <c r="C6" s="104" t="s">
        <v>84</v>
      </c>
      <c r="D6" s="108">
        <v>9</v>
      </c>
      <c r="E6" s="86"/>
      <c r="F6" s="85"/>
      <c r="G6" s="104"/>
      <c r="H6" s="62">
        <f>G6-0</f>
        <v>0</v>
      </c>
      <c r="I6" s="65">
        <v>1.2233796296296296E-2</v>
      </c>
      <c r="J6" s="65">
        <f>I6</f>
        <v>1.2233796296296296E-2</v>
      </c>
      <c r="K6" s="66">
        <f>J6</f>
        <v>1.2233796296296296E-2</v>
      </c>
      <c r="L6" s="29">
        <f>F6-E6</f>
        <v>0</v>
      </c>
      <c r="M6" s="67"/>
    </row>
    <row r="7" spans="1:14" s="2" customFormat="1" ht="30" customHeight="1">
      <c r="A7" s="171"/>
      <c r="B7" s="5">
        <v>2</v>
      </c>
      <c r="C7" s="120" t="s">
        <v>83</v>
      </c>
      <c r="D7" s="109">
        <v>7</v>
      </c>
      <c r="E7" s="95"/>
      <c r="F7" s="84"/>
      <c r="G7" s="89"/>
      <c r="H7" s="3">
        <f>G7-G6</f>
        <v>0</v>
      </c>
      <c r="I7" s="20">
        <v>2.4432870370370369E-2</v>
      </c>
      <c r="J7" s="20">
        <f>I7-I6</f>
        <v>1.2199074074074072E-2</v>
      </c>
      <c r="K7" s="21">
        <f>J7</f>
        <v>1.2199074074074072E-2</v>
      </c>
      <c r="L7" s="29">
        <f t="shared" ref="L7:L14" si="0">F7-E7</f>
        <v>0</v>
      </c>
      <c r="M7" s="68"/>
    </row>
    <row r="8" spans="1:14" s="2" customFormat="1" ht="30" customHeight="1">
      <c r="A8" s="171"/>
      <c r="B8" s="5">
        <v>3</v>
      </c>
      <c r="C8" s="89" t="s">
        <v>84</v>
      </c>
      <c r="D8" s="109">
        <v>12</v>
      </c>
      <c r="E8" s="116">
        <v>40.07</v>
      </c>
      <c r="F8" s="84">
        <f>(40.3+40.62+40.07+40.54+41.58+41.29)/6</f>
        <v>40.733333333333327</v>
      </c>
      <c r="G8" s="89">
        <v>6</v>
      </c>
      <c r="H8" s="3">
        <f t="shared" ref="H8:H14" si="1">G8-G7</f>
        <v>6</v>
      </c>
      <c r="I8" s="20">
        <v>4.1273148148148149E-2</v>
      </c>
      <c r="J8" s="20">
        <f>I8-I7</f>
        <v>1.684027777777778E-2</v>
      </c>
      <c r="K8" s="21">
        <f t="shared" ref="K8:K14" si="2">J8+K6</f>
        <v>2.9074074074074079E-2</v>
      </c>
      <c r="L8" s="29">
        <f t="shared" si="0"/>
        <v>0.66333333333332689</v>
      </c>
      <c r="M8" s="68"/>
    </row>
    <row r="9" spans="1:14" s="2" customFormat="1" ht="30" customHeight="1">
      <c r="A9" s="171"/>
      <c r="B9" s="5">
        <v>4</v>
      </c>
      <c r="C9" s="89" t="s">
        <v>83</v>
      </c>
      <c r="D9" s="109">
        <v>3</v>
      </c>
      <c r="E9" s="102">
        <v>39.36</v>
      </c>
      <c r="F9" s="84">
        <f>(39.78+39.74+39.54+39.88+39.64+39.77+39.5+39.79+39.39+39.4+39.58+39.67+39.85+39.44+40.17+39.36+39.43+39.78+39.72+39.53+39.47+39.56+39.59+39.7+39.66+39.82+40.28)/27</f>
        <v>39.668148148148148</v>
      </c>
      <c r="G9" s="89">
        <v>34</v>
      </c>
      <c r="H9" s="3">
        <f t="shared" si="1"/>
        <v>28</v>
      </c>
      <c r="I9" s="20">
        <v>5.4872685185185184E-2</v>
      </c>
      <c r="J9" s="20">
        <f t="shared" ref="J9:J13" si="3">I9-I8</f>
        <v>1.3599537037037035E-2</v>
      </c>
      <c r="K9" s="23">
        <f t="shared" si="2"/>
        <v>2.5798611111111105E-2</v>
      </c>
      <c r="L9" s="29">
        <f t="shared" si="0"/>
        <v>0.30814814814814895</v>
      </c>
      <c r="M9" s="68"/>
    </row>
    <row r="10" spans="1:14" s="2" customFormat="1" ht="30" customHeight="1">
      <c r="A10" s="171"/>
      <c r="B10" s="5">
        <v>5</v>
      </c>
      <c r="C10" s="89" t="s">
        <v>84</v>
      </c>
      <c r="D10" s="109">
        <v>21</v>
      </c>
      <c r="E10" s="96">
        <v>39.92</v>
      </c>
      <c r="F10" s="84">
        <f>(42.52+42.63+43.19+43.6+56.37+44.34+54.9+43.17+42.46+40.97+40.79+40.74+40.12+40.28+40.01+40.32+40.01+41.04+40.69+40.61+41.48+40.26+40.02+39.92+40.17+42.35+40.4+40.51+41.23+40.49+39.99+41.32+55.94+39.92+39.93+40.33+40.35+40.09+40.28+40.66+40.76+39.95+40.49+40.75+40.42+41.07)/46</f>
        <v>41.909565217391304</v>
      </c>
      <c r="G10" s="89">
        <v>81</v>
      </c>
      <c r="H10" s="3">
        <f t="shared" si="1"/>
        <v>47</v>
      </c>
      <c r="I10" s="20">
        <v>7.8530092592592596E-2</v>
      </c>
      <c r="J10" s="20">
        <f t="shared" si="3"/>
        <v>2.3657407407407412E-2</v>
      </c>
      <c r="K10" s="23">
        <f t="shared" si="2"/>
        <v>5.273148148148149E-2</v>
      </c>
      <c r="L10" s="29">
        <f t="shared" si="0"/>
        <v>1.9895652173913021</v>
      </c>
      <c r="M10" s="68"/>
    </row>
    <row r="11" spans="1:14" s="2" customFormat="1" ht="30" customHeight="1">
      <c r="A11" s="171"/>
      <c r="B11" s="5">
        <v>6</v>
      </c>
      <c r="C11" s="89" t="s">
        <v>83</v>
      </c>
      <c r="D11" s="109">
        <v>11</v>
      </c>
      <c r="E11" s="95">
        <v>39.25</v>
      </c>
      <c r="F11" s="84">
        <f>(39.58+39.7+41.02+39.8+39.7+39.48+39.64+39.39+39.46+39.66+40.23+39.25+39.55+39.47+39.65+39.57+39.74+39.82+39.61+39.79+39.9+39.55+39.6+39.67+39.75+39.66+39.76+39.51+39.5+39.55+39.75+39.55+39.49+39.78+39.99+40.17)/36</f>
        <v>39.702500000000001</v>
      </c>
      <c r="G11" s="89">
        <v>118</v>
      </c>
      <c r="H11" s="3">
        <f t="shared" si="1"/>
        <v>37</v>
      </c>
      <c r="I11" s="20">
        <v>9.6284722222222216E-2</v>
      </c>
      <c r="J11" s="20">
        <f t="shared" si="3"/>
        <v>1.775462962962962E-2</v>
      </c>
      <c r="K11" s="23">
        <f t="shared" si="2"/>
        <v>4.3553240740740726E-2</v>
      </c>
      <c r="L11" s="29">
        <f t="shared" si="0"/>
        <v>0.45250000000000057</v>
      </c>
      <c r="M11" s="77"/>
    </row>
    <row r="12" spans="1:14" s="2" customFormat="1" ht="30" customHeight="1">
      <c r="A12" s="171"/>
      <c r="B12" s="5">
        <v>7</v>
      </c>
      <c r="C12" s="89" t="s">
        <v>84</v>
      </c>
      <c r="D12" s="109">
        <v>3</v>
      </c>
      <c r="E12" s="97">
        <v>39.85</v>
      </c>
      <c r="F12" s="84">
        <f>(40.42+40.56+40.22+40.56+40.51+41.85+40.13+39.85+40.13+40.41+40.34+40.53+40.49+40.43+40.38+40.18+40.28+40.47+40.27+40.92+40.3+40.48+41.32+40.12+40.33+40.4+40.55+40.95+40.33+40.09+40.08+39.98+40.19+40.1+40.09+40.16+40.48+40.11+40.36+40.45+40.68+40.5+40.24+40.24+41.16+40.08+40.05+40.89+40.5+40.47+49.7+40.73+40.34+42.11+40.57)/55</f>
        <v>40.61927272727273</v>
      </c>
      <c r="G12" s="89">
        <v>174</v>
      </c>
      <c r="H12" s="3">
        <f t="shared" si="1"/>
        <v>56</v>
      </c>
      <c r="I12" s="20">
        <v>0.12336805555555556</v>
      </c>
      <c r="J12" s="20">
        <f t="shared" si="3"/>
        <v>2.7083333333333348E-2</v>
      </c>
      <c r="K12" s="23">
        <f t="shared" si="2"/>
        <v>7.9814814814814838E-2</v>
      </c>
      <c r="L12" s="29">
        <f t="shared" si="0"/>
        <v>0.76927272727272822</v>
      </c>
      <c r="M12" s="77"/>
    </row>
    <row r="13" spans="1:14" s="2" customFormat="1" ht="30" customHeight="1">
      <c r="A13" s="171"/>
      <c r="B13" s="123">
        <v>8</v>
      </c>
      <c r="C13" s="118" t="s">
        <v>83</v>
      </c>
      <c r="D13" s="121">
        <v>21</v>
      </c>
      <c r="E13" s="97">
        <v>38.99</v>
      </c>
      <c r="F13" s="122">
        <f>(39.79+39.36+39.43+39.3+39.69+39.27+39.7+39.57+39.48+39.77+39.6+39.82+39.71+39.68+39.61+40.27+39.97+40.92+39.87+39.81+39.7+39.94+40.11+39.84+39.7+39.66+39.5+39.67+39.32+39.62+39.48+39.96+39.46+39.44+40.06+39.69+39.57+39.35+38.99+39.05+39.01+39.19+39.17+39.18+39.11+39.36+39.23+39.12+39.48+41.29+39.53+39.58+39.24+39.95)/54</f>
        <v>39.614259259259249</v>
      </c>
      <c r="G13" s="118">
        <v>230</v>
      </c>
      <c r="H13" s="3">
        <f t="shared" si="1"/>
        <v>56</v>
      </c>
      <c r="I13" s="124">
        <v>0.15162037037037038</v>
      </c>
      <c r="J13" s="20">
        <f t="shared" si="3"/>
        <v>2.8252314814814813E-2</v>
      </c>
      <c r="K13" s="125">
        <f t="shared" si="2"/>
        <v>7.1805555555555539E-2</v>
      </c>
      <c r="L13" s="29">
        <f t="shared" si="0"/>
        <v>0.6242592592592473</v>
      </c>
      <c r="M13" s="126">
        <f>AVERAGE(L9,L11,L13)</f>
        <v>0.46163580246913227</v>
      </c>
      <c r="N13" s="2" t="s">
        <v>83</v>
      </c>
    </row>
    <row r="14" spans="1:14" s="2" customFormat="1" ht="30" customHeight="1" thickBot="1">
      <c r="A14" s="171"/>
      <c r="B14" s="79" t="s">
        <v>13</v>
      </c>
      <c r="C14" s="118" t="s">
        <v>84</v>
      </c>
      <c r="D14" s="118">
        <v>12</v>
      </c>
      <c r="E14" s="99">
        <v>40.36</v>
      </c>
      <c r="F14" s="100">
        <f>(41.37+40.89+46.05+41.18+40.53+40.79+40.79+40.84+40.56+41.3+40.46+40.42+40.66+40.87+40.45+41.75+40.8+41.15+41.72+40.4+40.36+41.01+40.71+40.75+41.1+40.82+41.68+42.38+42.82+40.81)/30</f>
        <v>41.180666666666667</v>
      </c>
      <c r="G14" s="105">
        <v>261</v>
      </c>
      <c r="H14" s="3">
        <f t="shared" si="1"/>
        <v>31</v>
      </c>
      <c r="I14" s="31">
        <v>0.16668981481481482</v>
      </c>
      <c r="J14" s="31">
        <f>I14-I13</f>
        <v>1.5069444444444441E-2</v>
      </c>
      <c r="K14" s="73">
        <f t="shared" si="2"/>
        <v>9.4884259259259279E-2</v>
      </c>
      <c r="L14" s="71">
        <f t="shared" si="0"/>
        <v>0.82066666666666777</v>
      </c>
      <c r="M14" s="78">
        <f>AVERAGE(L8,L10,L12,L14)</f>
        <v>1.0607094861660062</v>
      </c>
      <c r="N14" s="2" t="s">
        <v>103</v>
      </c>
    </row>
    <row r="15" spans="1:14" ht="16.5" thickBot="1">
      <c r="A15" s="172"/>
      <c r="B15" s="186"/>
      <c r="C15" s="187"/>
      <c r="D15" s="188"/>
      <c r="E15" s="80">
        <f>AVERAGE(E6:E14)</f>
        <v>39.68571428571429</v>
      </c>
      <c r="F15" s="81">
        <f>AVERAGE(F6:F14)</f>
        <v>40.489677907438782</v>
      </c>
      <c r="G15" s="11"/>
      <c r="H15" s="11"/>
      <c r="I15" s="11"/>
      <c r="J15" s="11"/>
      <c r="K15" s="11"/>
      <c r="L15" s="11"/>
      <c r="M15" s="11"/>
    </row>
    <row r="17" spans="1:1">
      <c r="A17" s="72" t="s">
        <v>78</v>
      </c>
    </row>
    <row r="18" spans="1:1" ht="15.75">
      <c r="A18" s="28"/>
    </row>
  </sheetData>
  <mergeCells count="15">
    <mergeCell ref="A1:M1"/>
    <mergeCell ref="A3:M3"/>
    <mergeCell ref="H4:H5"/>
    <mergeCell ref="L4:M4"/>
    <mergeCell ref="A6:A15"/>
    <mergeCell ref="B15:D15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Регистрация</vt:lpstr>
      <vt:lpstr>Общие результаты</vt:lpstr>
      <vt:lpstr>Финики </vt:lpstr>
      <vt:lpstr>Ну погоди!</vt:lpstr>
      <vt:lpstr>M&amp;M`s</vt:lpstr>
      <vt:lpstr>Ай Молодець!</vt:lpstr>
      <vt:lpstr>ЧП</vt:lpstr>
      <vt:lpstr>Бандеровцы </vt:lpstr>
      <vt:lpstr>Mad Snails team</vt:lpstr>
      <vt:lpstr>Newbie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2014-05-24T07:46:05Z</cp:lastPrinted>
  <dcterms:created xsi:type="dcterms:W3CDTF">2012-07-06T15:34:01Z</dcterms:created>
  <dcterms:modified xsi:type="dcterms:W3CDTF">2014-07-25T14:03:11Z</dcterms:modified>
</cp:coreProperties>
</file>