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5480" windowHeight="8985" tabRatio="857" activeTab="1"/>
  </bookViews>
  <sheets>
    <sheet name="Регистрация" sheetId="23" r:id="rId1"/>
    <sheet name="Общие результаты" sheetId="24" r:id="rId2"/>
    <sheet name="Лучшие отрезки" sheetId="28" r:id="rId3"/>
    <sheet name="ЛК по картам" sheetId="29" r:id="rId4"/>
    <sheet name="Выбор картов" sheetId="30" r:id="rId5"/>
    <sheet name="Чпок Тим" sheetId="16" r:id="rId6"/>
    <sheet name="Ну погоди!" sheetId="15" r:id="rId7"/>
    <sheet name="M&amp;M`s" sheetId="19" r:id="rId8"/>
    <sheet name="Смурфики" sheetId="17" r:id="rId9"/>
    <sheet name="Финики" sheetId="14" r:id="rId10"/>
    <sheet name="НЛО" sheetId="18" r:id="rId11"/>
    <sheet name="Mad Snails team" sheetId="20" r:id="rId12"/>
    <sheet name="Незнайки" sheetId="22" r:id="rId13"/>
    <sheet name="Бандеровцы" sheetId="21" r:id="rId14"/>
    <sheet name="Вспомогательный" sheetId="27" r:id="rId15"/>
  </sheets>
  <definedNames>
    <definedName name="_xlnm._FilterDatabase" localSheetId="14" hidden="1">Вспомогательный!$B$2:$H$2</definedName>
    <definedName name="_xlnm._FilterDatabase" localSheetId="3" hidden="1">'ЛК по картам'!$B$5:$E$16</definedName>
    <definedName name="_xlnm._FilterDatabase" localSheetId="2" hidden="1">'Лучшие отрезки'!$B$5:$E$21</definedName>
  </definedNames>
  <calcPr calcId="125725"/>
</workbook>
</file>

<file path=xl/calcChain.xml><?xml version="1.0" encoding="utf-8"?>
<calcChain xmlns="http://schemas.openxmlformats.org/spreadsheetml/2006/main">
  <c r="F6" i="30"/>
  <c r="L36"/>
  <c r="I36"/>
  <c r="F36"/>
  <c r="L35"/>
  <c r="I35"/>
  <c r="F35"/>
  <c r="L34"/>
  <c r="I34"/>
  <c r="F34"/>
  <c r="L33"/>
  <c r="I33"/>
  <c r="F33"/>
  <c r="L32"/>
  <c r="I32"/>
  <c r="F32"/>
  <c r="L31"/>
  <c r="I31"/>
  <c r="F31"/>
  <c r="L30"/>
  <c r="I30"/>
  <c r="F30"/>
  <c r="L29"/>
  <c r="I29"/>
  <c r="F29"/>
  <c r="L24"/>
  <c r="I24"/>
  <c r="F24"/>
  <c r="L23"/>
  <c r="I23"/>
  <c r="F23"/>
  <c r="L22"/>
  <c r="I22"/>
  <c r="F22"/>
  <c r="L21"/>
  <c r="I21"/>
  <c r="F21"/>
  <c r="L20"/>
  <c r="I20"/>
  <c r="F20"/>
  <c r="L19"/>
  <c r="I19"/>
  <c r="F19"/>
  <c r="L18"/>
  <c r="I18"/>
  <c r="F18"/>
  <c r="B18"/>
  <c r="L17"/>
  <c r="I17"/>
  <c r="F17"/>
  <c r="L12"/>
  <c r="I12"/>
  <c r="F12"/>
  <c r="L11"/>
  <c r="I11"/>
  <c r="F11"/>
  <c r="L10"/>
  <c r="I10"/>
  <c r="F10"/>
  <c r="L9"/>
  <c r="I9"/>
  <c r="F9"/>
  <c r="L8"/>
  <c r="I8"/>
  <c r="F8"/>
  <c r="L7"/>
  <c r="I7"/>
  <c r="F7"/>
  <c r="L6"/>
  <c r="I6"/>
  <c r="L5"/>
  <c r="I5"/>
  <c r="F5"/>
  <c r="I13" l="1"/>
  <c r="P7" s="1"/>
  <c r="I25"/>
  <c r="P11" s="1"/>
  <c r="F37"/>
  <c r="P13" s="1"/>
  <c r="F13"/>
  <c r="P9" s="1"/>
  <c r="L13"/>
  <c r="P19" s="1"/>
  <c r="F25"/>
  <c r="P17" s="1"/>
  <c r="L25"/>
  <c r="P15" s="1"/>
  <c r="I37"/>
  <c r="P23" s="1"/>
  <c r="L37"/>
  <c r="P21" s="1"/>
  <c r="E11" i="29"/>
  <c r="K9"/>
  <c r="E15"/>
  <c r="K13"/>
  <c r="E9"/>
  <c r="E17"/>
  <c r="K15"/>
  <c r="E19"/>
  <c r="E13"/>
  <c r="K7"/>
  <c r="K11"/>
  <c r="K17"/>
  <c r="E7"/>
  <c r="J21" i="28"/>
  <c r="J20"/>
  <c r="J19"/>
  <c r="J18"/>
  <c r="J17"/>
  <c r="J16"/>
  <c r="J15"/>
  <c r="J14"/>
  <c r="J13"/>
  <c r="J12"/>
  <c r="J11"/>
  <c r="J10"/>
  <c r="J9"/>
  <c r="J8"/>
  <c r="J7"/>
  <c r="F11" i="17"/>
  <c r="E67" i="27"/>
  <c r="E46"/>
  <c r="E17"/>
  <c r="E14"/>
  <c r="E62"/>
  <c r="E50"/>
  <c r="E68"/>
  <c r="E61"/>
  <c r="E22"/>
  <c r="E66"/>
  <c r="E27"/>
  <c r="E45"/>
  <c r="E16"/>
  <c r="E29"/>
  <c r="E47"/>
  <c r="E28"/>
  <c r="E31"/>
  <c r="E63"/>
  <c r="E7"/>
  <c r="E21"/>
  <c r="E26"/>
  <c r="E11"/>
  <c r="E74"/>
  <c r="E65"/>
  <c r="E51"/>
  <c r="E36"/>
  <c r="E10"/>
  <c r="E39"/>
  <c r="E43"/>
  <c r="E8"/>
  <c r="E41"/>
  <c r="E42"/>
  <c r="E40"/>
  <c r="E70"/>
  <c r="E24"/>
  <c r="E32"/>
  <c r="E64"/>
  <c r="E33"/>
  <c r="E9"/>
  <c r="E56"/>
  <c r="E57"/>
  <c r="E49"/>
  <c r="E69"/>
  <c r="E25"/>
  <c r="E53"/>
  <c r="E60"/>
  <c r="E23"/>
  <c r="E15"/>
  <c r="E18"/>
  <c r="E38"/>
  <c r="E55"/>
  <c r="E48"/>
  <c r="E72"/>
  <c r="E44"/>
  <c r="E52"/>
  <c r="E71"/>
  <c r="E6"/>
  <c r="E30"/>
  <c r="E54"/>
  <c r="E59"/>
  <c r="E3"/>
  <c r="E37"/>
  <c r="E19"/>
  <c r="E35"/>
  <c r="E13"/>
  <c r="E4"/>
  <c r="E34"/>
  <c r="E73"/>
  <c r="E12"/>
  <c r="E20"/>
  <c r="E58"/>
  <c r="E5"/>
  <c r="Q21" i="30" l="1"/>
  <c r="Q11"/>
  <c r="Q15"/>
  <c r="Q23"/>
  <c r="Q9"/>
  <c r="Q19"/>
  <c r="Q13"/>
  <c r="Q17"/>
  <c r="H13" i="21" l="1"/>
  <c r="H12"/>
  <c r="H11"/>
  <c r="H10"/>
  <c r="H9"/>
  <c r="H8"/>
  <c r="H7"/>
  <c r="H6"/>
  <c r="H13" i="22"/>
  <c r="H12"/>
  <c r="H11"/>
  <c r="H10"/>
  <c r="H9"/>
  <c r="H8"/>
  <c r="H7"/>
  <c r="H6"/>
  <c r="H13" i="20"/>
  <c r="H12"/>
  <c r="H11"/>
  <c r="H10"/>
  <c r="H9"/>
  <c r="H8"/>
  <c r="H7"/>
  <c r="H6"/>
  <c r="H13" i="18"/>
  <c r="H12"/>
  <c r="H11"/>
  <c r="H10"/>
  <c r="H9"/>
  <c r="H8"/>
  <c r="H7"/>
  <c r="H6"/>
  <c r="H13" i="14"/>
  <c r="H12"/>
  <c r="H11"/>
  <c r="H10"/>
  <c r="H9"/>
  <c r="H8"/>
  <c r="H7"/>
  <c r="H6"/>
  <c r="F11"/>
  <c r="H13" i="17"/>
  <c r="H12"/>
  <c r="H11"/>
  <c r="H10"/>
  <c r="H9"/>
  <c r="H8"/>
  <c r="H7"/>
  <c r="H6"/>
  <c r="H13" i="19"/>
  <c r="H12"/>
  <c r="H11"/>
  <c r="H10"/>
  <c r="H9"/>
  <c r="H8"/>
  <c r="H7"/>
  <c r="H6"/>
  <c r="H13" i="15"/>
  <c r="H12"/>
  <c r="H11"/>
  <c r="H10"/>
  <c r="H9"/>
  <c r="H8"/>
  <c r="H7"/>
  <c r="H6"/>
  <c r="H13" i="16"/>
  <c r="H12"/>
  <c r="H11"/>
  <c r="H10"/>
  <c r="H9"/>
  <c r="H8"/>
  <c r="H7"/>
  <c r="H6"/>
  <c r="F13" i="21"/>
  <c r="F12"/>
  <c r="F11"/>
  <c r="F10"/>
  <c r="F9"/>
  <c r="L9" s="1"/>
  <c r="F8"/>
  <c r="L8" s="1"/>
  <c r="F7"/>
  <c r="L7" s="1"/>
  <c r="F6"/>
  <c r="F13" i="22"/>
  <c r="F12"/>
  <c r="F11"/>
  <c r="L11" s="1"/>
  <c r="F10"/>
  <c r="J13"/>
  <c r="F9"/>
  <c r="F8"/>
  <c r="F7"/>
  <c r="F6"/>
  <c r="L6" s="1"/>
  <c r="F13" i="20"/>
  <c r="F12"/>
  <c r="F11"/>
  <c r="F10"/>
  <c r="F9"/>
  <c r="F8"/>
  <c r="F7"/>
  <c r="F6"/>
  <c r="F13" i="18"/>
  <c r="F11"/>
  <c r="F12"/>
  <c r="F10"/>
  <c r="F9"/>
  <c r="F8"/>
  <c r="F7"/>
  <c r="F6"/>
  <c r="F13" i="14"/>
  <c r="F12"/>
  <c r="F10"/>
  <c r="F9"/>
  <c r="F8"/>
  <c r="F7"/>
  <c r="F6"/>
  <c r="J12"/>
  <c r="F13" i="17"/>
  <c r="F12"/>
  <c r="F10"/>
  <c r="F9"/>
  <c r="F8"/>
  <c r="F7"/>
  <c r="F6"/>
  <c r="F13" i="19"/>
  <c r="F12"/>
  <c r="F11"/>
  <c r="F10"/>
  <c r="F9"/>
  <c r="F8"/>
  <c r="F7"/>
  <c r="F6"/>
  <c r="F13" i="15"/>
  <c r="F12"/>
  <c r="F11"/>
  <c r="F10"/>
  <c r="F9"/>
  <c r="F8"/>
  <c r="F7"/>
  <c r="F6"/>
  <c r="F13" i="16"/>
  <c r="F12"/>
  <c r="F11"/>
  <c r="F10"/>
  <c r="F9"/>
  <c r="F8"/>
  <c r="F7"/>
  <c r="F6"/>
  <c r="L13" i="22"/>
  <c r="L10"/>
  <c r="E14"/>
  <c r="L12"/>
  <c r="J12"/>
  <c r="J11"/>
  <c r="J10"/>
  <c r="J9"/>
  <c r="L9"/>
  <c r="M11" s="1"/>
  <c r="J8"/>
  <c r="K8" s="1"/>
  <c r="L8"/>
  <c r="J7"/>
  <c r="K7" s="1"/>
  <c r="L7"/>
  <c r="J6"/>
  <c r="K6" s="1"/>
  <c r="K9" s="1"/>
  <c r="L12" i="21"/>
  <c r="E14"/>
  <c r="J13"/>
  <c r="L13"/>
  <c r="J12"/>
  <c r="J11"/>
  <c r="L11"/>
  <c r="J10"/>
  <c r="K10" s="1"/>
  <c r="L10"/>
  <c r="J9"/>
  <c r="J8"/>
  <c r="K8" s="1"/>
  <c r="K11" s="1"/>
  <c r="J7"/>
  <c r="K7" s="1"/>
  <c r="J6"/>
  <c r="K6" s="1"/>
  <c r="K9" s="1"/>
  <c r="K13" l="1"/>
  <c r="M11"/>
  <c r="M13"/>
  <c r="K12"/>
  <c r="M13" i="22"/>
  <c r="M12"/>
  <c r="K10"/>
  <c r="K12" s="1"/>
  <c r="K11"/>
  <c r="K13" s="1"/>
  <c r="F14"/>
  <c r="F14" i="21"/>
  <c r="L6"/>
  <c r="M12" s="1"/>
  <c r="L13" i="20"/>
  <c r="L12"/>
  <c r="L11"/>
  <c r="L6"/>
  <c r="E14"/>
  <c r="J13"/>
  <c r="J12"/>
  <c r="J11"/>
  <c r="L10"/>
  <c r="J10"/>
  <c r="L9"/>
  <c r="J9"/>
  <c r="J8"/>
  <c r="L7"/>
  <c r="J7"/>
  <c r="K7" s="1"/>
  <c r="J6"/>
  <c r="K6" s="1"/>
  <c r="L13" i="19"/>
  <c r="L12"/>
  <c r="L11"/>
  <c r="L10"/>
  <c r="E14"/>
  <c r="J13"/>
  <c r="J12"/>
  <c r="J11"/>
  <c r="J10"/>
  <c r="L9"/>
  <c r="J9"/>
  <c r="J8"/>
  <c r="K8" s="1"/>
  <c r="L7"/>
  <c r="J7"/>
  <c r="K7" s="1"/>
  <c r="L6"/>
  <c r="J6"/>
  <c r="K6" s="1"/>
  <c r="L13" i="18"/>
  <c r="L12"/>
  <c r="L11"/>
  <c r="L10"/>
  <c r="L6"/>
  <c r="E14"/>
  <c r="J13"/>
  <c r="J12"/>
  <c r="J11"/>
  <c r="J10"/>
  <c r="L9"/>
  <c r="J9"/>
  <c r="J8"/>
  <c r="L7"/>
  <c r="J7"/>
  <c r="K7" s="1"/>
  <c r="J6"/>
  <c r="K6" s="1"/>
  <c r="L13" i="17"/>
  <c r="L12"/>
  <c r="L11"/>
  <c r="L10"/>
  <c r="L9"/>
  <c r="L8"/>
  <c r="L7"/>
  <c r="L6"/>
  <c r="E14"/>
  <c r="J13"/>
  <c r="J12"/>
  <c r="J11"/>
  <c r="J10"/>
  <c r="J9"/>
  <c r="J8"/>
  <c r="K8" s="1"/>
  <c r="J7"/>
  <c r="J6"/>
  <c r="K6" s="1"/>
  <c r="L13" i="16"/>
  <c r="L12"/>
  <c r="L10"/>
  <c r="M13" s="1"/>
  <c r="E14"/>
  <c r="J13"/>
  <c r="J12"/>
  <c r="J11"/>
  <c r="L11"/>
  <c r="J10"/>
  <c r="J9"/>
  <c r="L9"/>
  <c r="J8"/>
  <c r="L8"/>
  <c r="J7"/>
  <c r="K7" s="1"/>
  <c r="L7"/>
  <c r="J6"/>
  <c r="K6" s="1"/>
  <c r="J7" i="15"/>
  <c r="K7" s="1"/>
  <c r="J8"/>
  <c r="L13"/>
  <c r="L11"/>
  <c r="F14"/>
  <c r="E14"/>
  <c r="J13"/>
  <c r="J12"/>
  <c r="L12"/>
  <c r="J11"/>
  <c r="J10"/>
  <c r="L10"/>
  <c r="J9"/>
  <c r="K9" s="1"/>
  <c r="L9"/>
  <c r="L8"/>
  <c r="L7"/>
  <c r="J6"/>
  <c r="K6" s="1"/>
  <c r="L12" i="14"/>
  <c r="J13"/>
  <c r="L11"/>
  <c r="L8"/>
  <c r="L7"/>
  <c r="E14"/>
  <c r="L13"/>
  <c r="J11"/>
  <c r="J10"/>
  <c r="L10"/>
  <c r="J9"/>
  <c r="L9"/>
  <c r="J8"/>
  <c r="K8" s="1"/>
  <c r="K10" s="1"/>
  <c r="K12" s="1"/>
  <c r="J7"/>
  <c r="J6"/>
  <c r="K6" s="1"/>
  <c r="K7" i="17" l="1"/>
  <c r="K9" s="1"/>
  <c r="K12" s="1"/>
  <c r="K9" i="19"/>
  <c r="K10"/>
  <c r="M12" i="14"/>
  <c r="K7"/>
  <c r="M13" i="15"/>
  <c r="K12"/>
  <c r="K13" s="1"/>
  <c r="K8" i="16"/>
  <c r="K11" s="1"/>
  <c r="K12" s="1"/>
  <c r="K9"/>
  <c r="K10" s="1"/>
  <c r="K13" s="1"/>
  <c r="M13" i="18"/>
  <c r="K11" i="19"/>
  <c r="K12" s="1"/>
  <c r="K13"/>
  <c r="M12" i="17"/>
  <c r="M13"/>
  <c r="K10"/>
  <c r="K11" s="1"/>
  <c r="K13" s="1"/>
  <c r="M12" i="19"/>
  <c r="M11"/>
  <c r="K8" i="15"/>
  <c r="K10" s="1"/>
  <c r="K11" s="1"/>
  <c r="F14" i="20"/>
  <c r="L8"/>
  <c r="M12" s="1"/>
  <c r="K9"/>
  <c r="K11" s="1"/>
  <c r="K13" s="1"/>
  <c r="K8"/>
  <c r="K10" s="1"/>
  <c r="K12" s="1"/>
  <c r="M13"/>
  <c r="F14" i="19"/>
  <c r="L8"/>
  <c r="M13" s="1"/>
  <c r="F14" i="18"/>
  <c r="L8"/>
  <c r="M12" s="1"/>
  <c r="K8"/>
  <c r="K10" s="1"/>
  <c r="K12" s="1"/>
  <c r="K13" s="1"/>
  <c r="K9"/>
  <c r="K11" s="1"/>
  <c r="F14" i="17"/>
  <c r="F14" i="16"/>
  <c r="F14" i="14"/>
  <c r="L6" i="16"/>
  <c r="M12" s="1"/>
  <c r="L6" i="15"/>
  <c r="M12" s="1"/>
  <c r="K9" i="14"/>
  <c r="K11" s="1"/>
  <c r="K13" s="1"/>
  <c r="L6"/>
  <c r="M13" s="1"/>
</calcChain>
</file>

<file path=xl/comments1.xml><?xml version="1.0" encoding="utf-8"?>
<comments xmlns="http://schemas.openxmlformats.org/spreadsheetml/2006/main">
  <authors>
    <author>Owner</author>
  </authors>
  <commentList>
    <comment ref="J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штрафа нет, поскольку фактический отрезок (а не на момент финиша лидера) был больше 15 минут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J12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штраф, начислен после финиша</t>
        </r>
      </text>
    </comment>
  </commentList>
</comments>
</file>

<file path=xl/sharedStrings.xml><?xml version="1.0" encoding="utf-8"?>
<sst xmlns="http://schemas.openxmlformats.org/spreadsheetml/2006/main" count="840" uniqueCount="210">
  <si>
    <t>всего у пилота</t>
  </si>
  <si>
    <t>отрезок</t>
  </si>
  <si>
    <t>Пилот</t>
  </si>
  <si>
    <t>Команда</t>
  </si>
  <si>
    <t>Контрольная таблица пит стопов команд</t>
  </si>
  <si>
    <t>Карт №</t>
  </si>
  <si>
    <t>КОМАНДА</t>
  </si>
  <si>
    <t>№ пит стопа</t>
  </si>
  <si>
    <t>№</t>
  </si>
  <si>
    <t>№ ком</t>
  </si>
  <si>
    <t>Вес</t>
  </si>
  <si>
    <t>Регистрационная форма</t>
  </si>
  <si>
    <t>Довес</t>
  </si>
  <si>
    <t>Финиш</t>
  </si>
  <si>
    <t>Время на трассе (мин)</t>
  </si>
  <si>
    <t>Чпок Тим</t>
  </si>
  <si>
    <t>Смурфики</t>
  </si>
  <si>
    <t>Ну погоди</t>
  </si>
  <si>
    <t>Бахмацкий Олег</t>
  </si>
  <si>
    <t>Финики</t>
  </si>
  <si>
    <t>Бандеровцы</t>
  </si>
  <si>
    <t>Шендрик Влад</t>
  </si>
  <si>
    <t>Бойко Коля</t>
  </si>
  <si>
    <t>Галуза Андрей</t>
  </si>
  <si>
    <t>Петушков Андрей</t>
  </si>
  <si>
    <t>Тыщенко Миша</t>
  </si>
  <si>
    <t>Хавило Дима</t>
  </si>
  <si>
    <t>Шевелев Валера</t>
  </si>
  <si>
    <t>Горошко Игорь</t>
  </si>
  <si>
    <t>Наум</t>
  </si>
  <si>
    <t>Оля</t>
  </si>
  <si>
    <t>Голубченко Саша</t>
  </si>
  <si>
    <t>Манило Денис</t>
  </si>
  <si>
    <t>Пикулин Паша</t>
  </si>
  <si>
    <t>1-1</t>
  </si>
  <si>
    <t>1-2</t>
  </si>
  <si>
    <t>2-1</t>
  </si>
  <si>
    <t>2-2</t>
  </si>
  <si>
    <t>3-1</t>
  </si>
  <si>
    <t>3-2</t>
  </si>
  <si>
    <t>4-1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</si>
  <si>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</si>
  <si>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</si>
  <si>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</si>
  <si>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</si>
  <si>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</si>
  <si>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</si>
  <si>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</si>
  <si>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</si>
  <si>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</si>
  <si>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</si>
  <si>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</si>
  <si>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-</t>
  </si>
  <si>
    <t>Место</t>
  </si>
  <si>
    <t>№ в гонке</t>
  </si>
  <si>
    <t>Квала</t>
  </si>
  <si>
    <t>Гонка</t>
  </si>
  <si>
    <t>Лучший круг в гонке</t>
  </si>
  <si>
    <t>Время</t>
  </si>
  <si>
    <t>Круги</t>
  </si>
  <si>
    <t>Время/от лидера</t>
  </si>
  <si>
    <t>На круге</t>
  </si>
  <si>
    <t>НУ, ПОГОДИ!</t>
  </si>
  <si>
    <t>1 круг</t>
  </si>
  <si>
    <t>ФИНИКИ</t>
  </si>
  <si>
    <t>ЧПОК ТИМ</t>
  </si>
  <si>
    <t>СМУРФИКИ</t>
  </si>
  <si>
    <t>MED SNAILS TEAM</t>
  </si>
  <si>
    <t>БАНДЕРОВЦЫ</t>
  </si>
  <si>
    <t>2 круга</t>
  </si>
  <si>
    <t>5 кругов</t>
  </si>
  <si>
    <t>12 кругов</t>
  </si>
  <si>
    <t>Сред. время круга на отрезке (без пита и поломок)</t>
  </si>
  <si>
    <t>Общее время гонки (на часах)</t>
  </si>
  <si>
    <t>Олег</t>
  </si>
  <si>
    <t>Игорь</t>
  </si>
  <si>
    <t>Андрей</t>
  </si>
  <si>
    <t>Коля</t>
  </si>
  <si>
    <t>2</t>
  </si>
  <si>
    <t>Дима</t>
  </si>
  <si>
    <t>Валера</t>
  </si>
  <si>
    <t>Влад</t>
  </si>
  <si>
    <t>M&amp;M`s</t>
  </si>
  <si>
    <t>Саша</t>
  </si>
  <si>
    <t>Денис</t>
  </si>
  <si>
    <t>15</t>
  </si>
  <si>
    <t>Миша</t>
  </si>
  <si>
    <t>5</t>
  </si>
  <si>
    <t>Паша</t>
  </si>
  <si>
    <t>11</t>
  </si>
  <si>
    <t>Антон</t>
  </si>
  <si>
    <t>Марафон-чемпионат "Сорвиголовы 2014", 2-й этап</t>
  </si>
  <si>
    <t>73</t>
  </si>
  <si>
    <t>7</t>
  </si>
  <si>
    <t>Пикулин Павел</t>
  </si>
  <si>
    <t>66</t>
  </si>
  <si>
    <t>14</t>
  </si>
  <si>
    <t>75</t>
  </si>
  <si>
    <t>Ткаченко Сергей</t>
  </si>
  <si>
    <t>77</t>
  </si>
  <si>
    <t>3</t>
  </si>
  <si>
    <t>Ткаченко Антон</t>
  </si>
  <si>
    <t>6-3</t>
  </si>
  <si>
    <t>83</t>
  </si>
  <si>
    <t>Незнайки</t>
  </si>
  <si>
    <t>Кочмарев Юра</t>
  </si>
  <si>
    <t>100</t>
  </si>
  <si>
    <t>80</t>
  </si>
  <si>
    <t>Демьяненко Дима</t>
  </si>
  <si>
    <t>78</t>
  </si>
  <si>
    <t>Кузык Дима</t>
  </si>
  <si>
    <t>2-3</t>
  </si>
  <si>
    <t>67</t>
  </si>
  <si>
    <t>13</t>
  </si>
  <si>
    <t>7-3</t>
  </si>
  <si>
    <t>60</t>
  </si>
  <si>
    <t>20</t>
  </si>
  <si>
    <t>НЛО</t>
  </si>
  <si>
    <t>Скобликов Влад</t>
  </si>
  <si>
    <t>84</t>
  </si>
  <si>
    <t>64</t>
  </si>
  <si>
    <t>16</t>
  </si>
  <si>
    <t>Геронимус Максим</t>
  </si>
  <si>
    <t>65</t>
  </si>
  <si>
    <t>81</t>
  </si>
  <si>
    <t>MST</t>
  </si>
  <si>
    <t>87</t>
  </si>
  <si>
    <t>68</t>
  </si>
  <si>
    <t>12</t>
  </si>
  <si>
    <t>76</t>
  </si>
  <si>
    <t>4</t>
  </si>
  <si>
    <t>Резанко Оля</t>
  </si>
  <si>
    <t>72</t>
  </si>
  <si>
    <t>НЕЗНАЙКИ</t>
  </si>
  <si>
    <t>9 кругов</t>
  </si>
  <si>
    <t>Микс</t>
  </si>
  <si>
    <t>Максим</t>
  </si>
  <si>
    <t>Юра</t>
  </si>
  <si>
    <t>Дима Д</t>
  </si>
  <si>
    <t>Дима К</t>
  </si>
  <si>
    <t>Сергей</t>
  </si>
  <si>
    <t>РЕЗУЛЬТАТЫ марафона "Сорвиголовы 2014", 2-й этап, 22.06.14</t>
  </si>
  <si>
    <t>Конфигурация 6R</t>
  </si>
  <si>
    <t>4:00:02.00</t>
  </si>
  <si>
    <t>Марафон "Сорвиголовы 2014", 22.06.14</t>
  </si>
  <si>
    <t>Лучший круг</t>
  </si>
  <si>
    <t>Круг заезда на пит</t>
  </si>
  <si>
    <t>Кругов на отрезке</t>
  </si>
  <si>
    <t>Стабильность пилота</t>
  </si>
  <si>
    <t>на отрезке</t>
  </si>
  <si>
    <t>в гонке</t>
  </si>
  <si>
    <t>Ну, Погоди!</t>
  </si>
  <si>
    <t>в дождь</t>
  </si>
  <si>
    <t>№ п/п</t>
  </si>
  <si>
    <t>ЛК</t>
  </si>
  <si>
    <t>Ср. круг</t>
  </si>
  <si>
    <t>Стабил-ть</t>
  </si>
  <si>
    <t>Карт</t>
  </si>
  <si>
    <t>Кругов</t>
  </si>
  <si>
    <t>M&amp;M's</t>
  </si>
  <si>
    <t>Mad Snails Team</t>
  </si>
  <si>
    <t>Чпок тим</t>
  </si>
  <si>
    <t>Рекордно стабильный отрезок Коли на карте №7.</t>
  </si>
  <si>
    <t>Лучшие круги в гонке на отрезках, топ 15</t>
  </si>
  <si>
    <t>Лучшие отрезки (средний круг), топ 15</t>
  </si>
  <si>
    <t>Лучшая стабильность* на отрезке, топ 15</t>
  </si>
  <si>
    <t>Средний круг</t>
  </si>
  <si>
    <t>Стабиль-ность</t>
  </si>
  <si>
    <t>Лучший круг пилота в своей команде</t>
  </si>
  <si>
    <t>Лучший круг у данного пилота за гонку</t>
  </si>
  <si>
    <t>* считается как разница между средним и лучшим кругом</t>
  </si>
  <si>
    <r>
      <t>В то же время в списке всего 7 пилотов из 5-и команд (</t>
    </r>
    <r>
      <rPr>
        <b/>
        <sz val="14"/>
        <color theme="1"/>
        <rFont val="Calibri"/>
        <family val="2"/>
        <charset val="204"/>
        <scheme val="minor"/>
      </rPr>
      <t>Ну, Погоди! и Чпок Тим</t>
    </r>
    <r>
      <rPr>
        <sz val="14"/>
        <color theme="1"/>
        <rFont val="Calibri"/>
        <family val="2"/>
        <charset val="204"/>
        <scheme val="minor"/>
      </rPr>
      <t xml:space="preserve"> в полном составе). </t>
    </r>
  </si>
  <si>
    <r>
      <t>Бойко Коля заезжал в Топ 15 по ЛК на каждом (!) из своих четырех отрезков.</t>
    </r>
    <r>
      <rPr>
        <sz val="14"/>
        <color theme="1"/>
        <rFont val="Calibri"/>
        <family val="2"/>
        <charset val="204"/>
        <scheme val="minor"/>
      </rPr>
      <t xml:space="preserve"> Бросается в глаза выпадание из таблицы Оли и уверенное появление в ней Наума.</t>
    </r>
  </si>
  <si>
    <t>Топ 15 лучших отрезков выдали всего 7 пилотов из 5 команд, при этом только Ну, Погоди! представлены полным составом.</t>
  </si>
  <si>
    <t xml:space="preserve">Хорошо прослеживается, что результат в марафонах - командный, и усилий одного лидера недостаточно, чтобы достичь максимального результата. </t>
  </si>
  <si>
    <t>Исключением стали Чпок Тим, но им подфартило с пит стопами в дождь. Нельзя не отметить заметно прибавивших на этом этапе Наума и Сашу Голубченко.</t>
  </si>
  <si>
    <t>В шаге от попадания в топ 15 остановились оба пилота НЛО Геронимус Максим и Скобликов Влад (16-е и 17-е места).</t>
  </si>
  <si>
    <t>Очень интересна таблица Топ 15 по стабильности отрезка. Конечно, дождь и мокрая трасса в последние 45 минут гонки позволяют анализировать лишь первый 3 часа с хвостиком.</t>
  </si>
  <si>
    <r>
      <t xml:space="preserve">Как и на 1-м этапе </t>
    </r>
    <r>
      <rPr>
        <b/>
        <sz val="14"/>
        <color theme="1"/>
        <rFont val="Calibri"/>
        <family val="2"/>
        <charset val="204"/>
        <scheme val="minor"/>
      </rPr>
      <t>Топ 15 лучших кругов показаны на 7 разных картах</t>
    </r>
    <r>
      <rPr>
        <sz val="14"/>
        <color theme="1"/>
        <rFont val="Calibri"/>
        <family val="2"/>
        <charset val="204"/>
        <scheme val="minor"/>
      </rPr>
      <t>. При этом карт №1, 7, 12 представлены по 3 раза.</t>
    </r>
  </si>
  <si>
    <r>
      <t xml:space="preserve">И все же - </t>
    </r>
    <r>
      <rPr>
        <b/>
        <sz val="14"/>
        <color theme="1"/>
        <rFont val="Calibri"/>
        <family val="2"/>
        <charset val="204"/>
        <scheme val="minor"/>
      </rPr>
      <t>в Топ 15 по стабильности 11 (!) пилотов из 7 (!) команд.</t>
    </r>
    <r>
      <rPr>
        <sz val="14"/>
        <color theme="1"/>
        <rFont val="Calibri"/>
        <family val="2"/>
        <charset val="204"/>
        <scheme val="minor"/>
      </rPr>
      <t xml:space="preserve"> В полном составе представлены как раз призеры этапа - </t>
    </r>
    <r>
      <rPr>
        <b/>
        <sz val="14"/>
        <color theme="1"/>
        <rFont val="Calibri"/>
        <family val="2"/>
        <charset val="204"/>
        <scheme val="minor"/>
      </rPr>
      <t>Чпок Тим, M&amp;M's и Ну, Погоди!</t>
    </r>
  </si>
  <si>
    <r>
      <t xml:space="preserve">По 4 лучших отрезка в Топ 15 показали </t>
    </r>
    <r>
      <rPr>
        <b/>
        <sz val="14"/>
        <color theme="1"/>
        <rFont val="Calibri"/>
        <family val="2"/>
        <charset val="204"/>
        <scheme val="minor"/>
      </rPr>
      <t>Ну, Погоди! и M&amp;M's,</t>
    </r>
    <r>
      <rPr>
        <sz val="14"/>
        <color theme="1"/>
        <rFont val="Calibri"/>
        <family val="2"/>
        <charset val="204"/>
        <scheme val="minor"/>
      </rPr>
      <t xml:space="preserve"> 3 раза отметился лидер Чпок тим. Именно эти команды оккупировали подиум.</t>
    </r>
  </si>
  <si>
    <r>
      <t>И это при том, что было 8 отрезков с разбросом времен менее 0,3 сек (для сравнения - на 1-м этапе всего 3 таких отрезка). Рекордно стабильный отрезок</t>
    </r>
    <r>
      <rPr>
        <b/>
        <sz val="14"/>
        <color theme="1"/>
        <rFont val="Calibri"/>
        <family val="2"/>
        <charset val="204"/>
        <scheme val="minor"/>
      </rPr>
      <t xml:space="preserve"> у Коли Бойко - 0,201 (!)</t>
    </r>
    <r>
      <rPr>
        <sz val="14"/>
        <color theme="1"/>
        <rFont val="Calibri"/>
        <family val="2"/>
        <charset val="204"/>
        <scheme val="minor"/>
      </rPr>
      <t>.</t>
    </r>
  </si>
  <si>
    <t>Ввиду погодных условий, делать какие-либо выводы по общей стабильности пилотов не представляется возможным.</t>
  </si>
  <si>
    <t>Нельзя не отметить появление в таблице Андрея Петушкова (дважды) и дебютанта формата Максима Геронимуса.</t>
  </si>
  <si>
    <t>Средний ЛК</t>
  </si>
  <si>
    <t>Геронимус Макс</t>
  </si>
  <si>
    <t>Лучшие круги по картам, топ 2*</t>
  </si>
  <si>
    <t>* Бралось 2, а не 3 ЛК на карте из-за уменьшенной дождем выборки</t>
  </si>
  <si>
    <t>Даже невооруженным глазом видно, насколько близки были карты на 2-м этапе.</t>
  </si>
  <si>
    <t>Самый быстрый (№1) и самый медленный (№10) разделило 0,7 сек.</t>
  </si>
  <si>
    <t>А если сделать поправку на то, что на картах №2, 15, 6 и 10 не ездили самые быстрые в гонке пилоты,</t>
  </si>
  <si>
    <t xml:space="preserve">самым медленным становится карт №3, проигравший всего 0,4 сек самому быстрому карту </t>
  </si>
  <si>
    <t>и менее 0,3 сек всем остальным. Очень близко!</t>
  </si>
  <si>
    <t>В связи с таким равенством картов фактор успешности или неуспешности стратегии команд в выборе</t>
  </si>
  <si>
    <t>картов очень сильно нивелировался.</t>
  </si>
  <si>
    <t>Рейтинг картов</t>
  </si>
  <si>
    <t>Результат</t>
  </si>
  <si>
    <t>Карты</t>
  </si>
  <si>
    <t>Отрезки</t>
  </si>
  <si>
    <t>Потери</t>
  </si>
  <si>
    <t>Потери от лидера</t>
  </si>
  <si>
    <t>Всего, сек</t>
  </si>
  <si>
    <t>Среднее</t>
  </si>
  <si>
    <t>Успешность стратегии команд в выборе картов на 2-м этапе Сорвиголов (на основании ЛК по картам)</t>
  </si>
  <si>
    <t>К сожалению, дождь, поливший трассу через 3 часа и 13 минут после начала гонки, сильно спутал карты командам и внес элемент удачи в распределение мест на финише.</t>
  </si>
  <si>
    <t>Тем не менее, определенные выводы по суженной выборке сделать можно.</t>
  </si>
  <si>
    <t>Стратегия Фиников, хоть и сильно испорченная поломкой быстрого карта перед дождем, не стала основной причиной их поражения.</t>
  </si>
  <si>
    <t>Так, лучшая стратегия на этапе была у лидеров гонки - Ну, Погоди! и Чпок Тим. Они привезли на стратегии около круга MST (заметное улучшение после 1-го этапа), НЛО, Смурфам и M&amp;M's.</t>
  </si>
  <si>
    <t>Достаточно предсказуемо Незнайки и Бандеровцы - команды, делающие первые шаги в марафонах - стратегически проиграли довольно много - почти 3 и 2 круга соответственно.</t>
  </si>
  <si>
    <t>Как говорится, "опыт - сын ошибок трудных". ;)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</si>
</sst>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[$-F400]h:mm:ss\ AM/PM"/>
    <numFmt numFmtId="166" formatCode="0.0"/>
  </numFmts>
  <fonts count="37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b/>
      <sz val="20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b/>
      <sz val="15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25"/>
      <color indexed="8"/>
      <name val="Calibri"/>
      <family val="2"/>
      <charset val="204"/>
    </font>
    <font>
      <sz val="12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8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3"/>
      <color indexed="8"/>
      <name val="Calibri"/>
      <family val="2"/>
      <charset val="204"/>
    </font>
    <font>
      <b/>
      <sz val="13"/>
      <color rgb="FFFF0000"/>
      <name val="Calibri"/>
      <family val="2"/>
      <charset val="204"/>
    </font>
    <font>
      <b/>
      <sz val="13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5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u/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3"/>
      <name val="Calibri"/>
      <family val="2"/>
      <charset val="204"/>
    </font>
    <font>
      <b/>
      <sz val="12"/>
      <name val="Calibri"/>
      <family val="2"/>
      <charset val="204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2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4" xfId="0" applyNumberFormat="1" applyFont="1" applyBorder="1" applyAlignment="1">
      <alignment horizontal="center" vertical="center"/>
    </xf>
    <xf numFmtId="165" fontId="2" fillId="2" borderId="14" xfId="0" applyNumberFormat="1" applyFont="1" applyFill="1" applyBorder="1" applyAlignment="1">
      <alignment horizontal="center" vertical="center"/>
    </xf>
    <xf numFmtId="165" fontId="3" fillId="0" borderId="14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0" fontId="12" fillId="0" borderId="0" xfId="0" applyFont="1" applyFill="1" applyAlignment="1">
      <alignment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0" xfId="0" applyFont="1"/>
    <xf numFmtId="164" fontId="0" fillId="0" borderId="1" xfId="0" applyNumberFormat="1" applyFill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/>
    <xf numFmtId="0" fontId="17" fillId="0" borderId="26" xfId="0" applyFont="1" applyBorder="1" applyAlignment="1">
      <alignment vertical="center"/>
    </xf>
    <xf numFmtId="49" fontId="17" fillId="0" borderId="39" xfId="0" applyNumberFormat="1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16" xfId="0" applyFont="1" applyBorder="1" applyAlignment="1">
      <alignment vertical="center"/>
    </xf>
    <xf numFmtId="49" fontId="17" fillId="0" borderId="18" xfId="0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45" xfId="0" applyFont="1" applyBorder="1" applyAlignment="1">
      <alignment vertical="center"/>
    </xf>
    <xf numFmtId="49" fontId="17" fillId="0" borderId="46" xfId="0" applyNumberFormat="1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17" fillId="0" borderId="17" xfId="0" applyFont="1" applyBorder="1" applyAlignment="1">
      <alignment vertical="center"/>
    </xf>
    <xf numFmtId="49" fontId="17" fillId="0" borderId="19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38" xfId="0" applyFont="1" applyBorder="1" applyAlignment="1">
      <alignment vertical="center"/>
    </xf>
    <xf numFmtId="49" fontId="17" fillId="0" borderId="40" xfId="0" applyNumberFormat="1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49" fontId="0" fillId="0" borderId="40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2" fillId="0" borderId="15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5" fontId="3" fillId="0" borderId="24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4" fontId="2" fillId="6" borderId="18" xfId="0" applyNumberFormat="1" applyFont="1" applyFill="1" applyBorder="1" applyAlignment="1">
      <alignment horizontal="center" vertical="center"/>
    </xf>
    <xf numFmtId="164" fontId="2" fillId="6" borderId="3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19" fillId="0" borderId="44" xfId="0" applyFont="1" applyBorder="1" applyAlignment="1">
      <alignment horizontal="center" vertical="center"/>
    </xf>
    <xf numFmtId="165" fontId="2" fillId="2" borderId="15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164" fontId="0" fillId="0" borderId="12" xfId="0" applyNumberFormat="1" applyFill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/>
    </xf>
    <xf numFmtId="164" fontId="15" fillId="0" borderId="20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  <xf numFmtId="2" fontId="20" fillId="0" borderId="49" xfId="0" applyNumberFormat="1" applyFont="1" applyBorder="1" applyAlignment="1">
      <alignment horizontal="center" vertical="center"/>
    </xf>
    <xf numFmtId="164" fontId="20" fillId="0" borderId="50" xfId="0" applyNumberFormat="1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4" fontId="2" fillId="7" borderId="18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2" fontId="19" fillId="0" borderId="8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0" borderId="54" xfId="0" applyBorder="1" applyAlignment="1">
      <alignment vertical="center"/>
    </xf>
    <xf numFmtId="0" fontId="19" fillId="0" borderId="3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19" fillId="0" borderId="44" xfId="0" applyNumberFormat="1" applyFont="1" applyBorder="1" applyAlignment="1">
      <alignment horizontal="center" vertical="center"/>
    </xf>
    <xf numFmtId="0" fontId="21" fillId="7" borderId="30" xfId="0" applyFont="1" applyFill="1" applyBorder="1" applyAlignment="1">
      <alignment horizontal="center" vertical="center"/>
    </xf>
    <xf numFmtId="164" fontId="2" fillId="7" borderId="39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164" fontId="2" fillId="0" borderId="18" xfId="0" applyNumberFormat="1" applyFont="1" applyFill="1" applyBorder="1" applyAlignment="1">
      <alignment horizontal="center" vertical="center"/>
    </xf>
    <xf numFmtId="164" fontId="2" fillId="0" borderId="39" xfId="0" applyNumberFormat="1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2" fontId="21" fillId="0" borderId="44" xfId="0" applyNumberFormat="1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5" fillId="0" borderId="0" xfId="0" applyFont="1"/>
    <xf numFmtId="0" fontId="0" fillId="0" borderId="0" xfId="0" applyFont="1"/>
    <xf numFmtId="164" fontId="2" fillId="6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4" fillId="0" borderId="0" xfId="0" applyFont="1" applyAlignment="1"/>
    <xf numFmtId="0" fontId="26" fillId="0" borderId="0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0" fillId="0" borderId="0" xfId="0" applyBorder="1" applyAlignment="1">
      <alignment vertical="center"/>
    </xf>
    <xf numFmtId="0" fontId="26" fillId="3" borderId="6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vertical="center"/>
    </xf>
    <xf numFmtId="0" fontId="26" fillId="9" borderId="6" xfId="0" applyFont="1" applyFill="1" applyBorder="1" applyAlignment="1">
      <alignment horizontal="center" vertical="center"/>
    </xf>
    <xf numFmtId="0" fontId="27" fillId="9" borderId="1" xfId="0" applyFont="1" applyFill="1" applyBorder="1" applyAlignment="1">
      <alignment vertical="center"/>
    </xf>
    <xf numFmtId="0" fontId="27" fillId="9" borderId="1" xfId="0" applyFont="1" applyFill="1" applyBorder="1" applyAlignment="1">
      <alignment horizontal="center" vertical="center"/>
    </xf>
    <xf numFmtId="2" fontId="27" fillId="9" borderId="1" xfId="0" applyNumberFormat="1" applyFont="1" applyFill="1" applyBorder="1" applyAlignment="1">
      <alignment horizontal="center" vertical="center"/>
    </xf>
    <xf numFmtId="0" fontId="27" fillId="9" borderId="5" xfId="0" applyFont="1" applyFill="1" applyBorder="1" applyAlignment="1">
      <alignment horizontal="center" vertical="center"/>
    </xf>
    <xf numFmtId="0" fontId="26" fillId="0" borderId="6" xfId="0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164" fontId="27" fillId="0" borderId="1" xfId="0" applyNumberFormat="1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6" fillId="10" borderId="6" xfId="0" applyFont="1" applyFill="1" applyBorder="1" applyAlignment="1">
      <alignment horizontal="center" vertical="center"/>
    </xf>
    <xf numFmtId="0" fontId="27" fillId="10" borderId="1" xfId="0" applyFont="1" applyFill="1" applyBorder="1" applyAlignment="1">
      <alignment vertical="center"/>
    </xf>
    <xf numFmtId="0" fontId="27" fillId="10" borderId="1" xfId="0" applyFont="1" applyFill="1" applyBorder="1" applyAlignment="1">
      <alignment horizontal="center" vertical="center"/>
    </xf>
    <xf numFmtId="0" fontId="27" fillId="10" borderId="5" xfId="0" applyFont="1" applyFill="1" applyBorder="1" applyAlignment="1">
      <alignment horizontal="center" vertical="center"/>
    </xf>
    <xf numFmtId="2" fontId="27" fillId="0" borderId="1" xfId="0" applyNumberFormat="1" applyFont="1" applyBorder="1" applyAlignment="1">
      <alignment horizontal="center" vertical="center"/>
    </xf>
    <xf numFmtId="164" fontId="27" fillId="3" borderId="1" xfId="0" applyNumberFormat="1" applyFont="1" applyFill="1" applyBorder="1" applyAlignment="1">
      <alignment horizontal="center" vertical="center"/>
    </xf>
    <xf numFmtId="0" fontId="28" fillId="9" borderId="1" xfId="0" applyFont="1" applyFill="1" applyBorder="1" applyAlignment="1">
      <alignment horizontal="center" vertical="center"/>
    </xf>
    <xf numFmtId="164" fontId="27" fillId="9" borderId="1" xfId="0" applyNumberFormat="1" applyFont="1" applyFill="1" applyBorder="1" applyAlignment="1">
      <alignment horizontal="center" vertical="center"/>
    </xf>
    <xf numFmtId="0" fontId="26" fillId="11" borderId="6" xfId="0" applyFont="1" applyFill="1" applyBorder="1" applyAlignment="1">
      <alignment horizontal="center" vertical="center"/>
    </xf>
    <xf numFmtId="0" fontId="27" fillId="11" borderId="1" xfId="0" applyFont="1" applyFill="1" applyBorder="1" applyAlignment="1">
      <alignment horizontal="center" vertical="center"/>
    </xf>
    <xf numFmtId="164" fontId="27" fillId="11" borderId="1" xfId="0" applyNumberFormat="1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2" fontId="27" fillId="3" borderId="1" xfId="0" applyNumberFormat="1" applyFont="1" applyFill="1" applyBorder="1" applyAlignment="1">
      <alignment horizontal="center" vertical="center"/>
    </xf>
    <xf numFmtId="164" fontId="27" fillId="10" borderId="1" xfId="0" applyNumberFormat="1" applyFont="1" applyFill="1" applyBorder="1" applyAlignment="1">
      <alignment horizontal="center" vertical="center"/>
    </xf>
    <xf numFmtId="0" fontId="27" fillId="11" borderId="1" xfId="0" applyFont="1" applyFill="1" applyBorder="1" applyAlignment="1">
      <alignment vertical="center"/>
    </xf>
    <xf numFmtId="0" fontId="27" fillId="11" borderId="5" xfId="0" applyFont="1" applyFill="1" applyBorder="1" applyAlignment="1">
      <alignment horizontal="center" vertical="center"/>
    </xf>
    <xf numFmtId="2" fontId="27" fillId="11" borderId="1" xfId="0" applyNumberFormat="1" applyFont="1" applyFill="1" applyBorder="1" applyAlignment="1">
      <alignment horizontal="center" vertical="center"/>
    </xf>
    <xf numFmtId="0" fontId="26" fillId="3" borderId="4" xfId="0" applyFont="1" applyFill="1" applyBorder="1" applyAlignment="1">
      <alignment horizontal="center" vertical="center"/>
    </xf>
    <xf numFmtId="0" fontId="27" fillId="3" borderId="3" xfId="0" applyFont="1" applyFill="1" applyBorder="1" applyAlignment="1">
      <alignment vertical="center"/>
    </xf>
    <xf numFmtId="0" fontId="27" fillId="3" borderId="3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3" xfId="0" applyFont="1" applyBorder="1" applyAlignment="1">
      <alignment horizontal="center" vertical="center"/>
    </xf>
    <xf numFmtId="2" fontId="27" fillId="0" borderId="3" xfId="0" applyNumberFormat="1" applyFont="1" applyBorder="1" applyAlignment="1">
      <alignment horizontal="center" vertical="center"/>
    </xf>
    <xf numFmtId="0" fontId="26" fillId="11" borderId="4" xfId="0" applyFont="1" applyFill="1" applyBorder="1" applyAlignment="1">
      <alignment horizontal="center" vertical="center"/>
    </xf>
    <xf numFmtId="0" fontId="27" fillId="11" borderId="3" xfId="0" applyFont="1" applyFill="1" applyBorder="1" applyAlignment="1">
      <alignment vertical="center"/>
    </xf>
    <xf numFmtId="0" fontId="27" fillId="11" borderId="3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0" fillId="0" borderId="0" xfId="0" applyBorder="1"/>
    <xf numFmtId="0" fontId="15" fillId="0" borderId="0" xfId="0" applyFont="1" applyBorder="1" applyAlignment="1">
      <alignment horizontal="center"/>
    </xf>
    <xf numFmtId="0" fontId="29" fillId="0" borderId="14" xfId="0" applyFont="1" applyBorder="1" applyAlignment="1">
      <alignment horizontal="center" vertical="center"/>
    </xf>
    <xf numFmtId="0" fontId="27" fillId="0" borderId="58" xfId="0" applyFont="1" applyFill="1" applyBorder="1" applyAlignment="1">
      <alignment vertical="center"/>
    </xf>
    <xf numFmtId="0" fontId="27" fillId="0" borderId="58" xfId="0" applyFont="1" applyFill="1" applyBorder="1" applyAlignment="1">
      <alignment horizontal="center" vertical="center"/>
    </xf>
    <xf numFmtId="0" fontId="26" fillId="0" borderId="58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16" fillId="0" borderId="14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30" fillId="0" borderId="0" xfId="0" applyFont="1" applyAlignment="1">
      <alignment horizontal="left"/>
    </xf>
    <xf numFmtId="0" fontId="31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32" fillId="0" borderId="0" xfId="0" applyFont="1" applyAlignment="1">
      <alignment horizontal="left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6" fillId="0" borderId="22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7" fillId="7" borderId="1" xfId="0" applyFont="1" applyFill="1" applyBorder="1" applyAlignment="1">
      <alignment vertical="center"/>
    </xf>
    <xf numFmtId="0" fontId="27" fillId="7" borderId="1" xfId="0" applyFont="1" applyFill="1" applyBorder="1" applyAlignment="1">
      <alignment horizontal="center" vertical="center"/>
    </xf>
    <xf numFmtId="0" fontId="27" fillId="7" borderId="5" xfId="0" applyFont="1" applyFill="1" applyBorder="1" applyAlignment="1">
      <alignment horizontal="center" vertical="center"/>
    </xf>
    <xf numFmtId="0" fontId="26" fillId="11" borderId="22" xfId="0" applyFont="1" applyFill="1" applyBorder="1" applyAlignment="1">
      <alignment horizontal="center" vertical="center"/>
    </xf>
    <xf numFmtId="0" fontId="27" fillId="11" borderId="12" xfId="0" applyFont="1" applyFill="1" applyBorder="1" applyAlignment="1">
      <alignment vertical="center"/>
    </xf>
    <xf numFmtId="0" fontId="27" fillId="11" borderId="12" xfId="0" applyFont="1" applyFill="1" applyBorder="1" applyAlignment="1">
      <alignment horizontal="center" vertical="center"/>
    </xf>
    <xf numFmtId="0" fontId="28" fillId="11" borderId="12" xfId="0" applyFont="1" applyFill="1" applyBorder="1" applyAlignment="1">
      <alignment horizontal="center" vertical="center"/>
    </xf>
    <xf numFmtId="0" fontId="27" fillId="11" borderId="13" xfId="0" applyFont="1" applyFill="1" applyBorder="1" applyAlignment="1">
      <alignment horizontal="center" vertical="center"/>
    </xf>
    <xf numFmtId="0" fontId="25" fillId="11" borderId="1" xfId="0" applyFont="1" applyFill="1" applyBorder="1" applyAlignment="1">
      <alignment horizontal="center" vertical="center"/>
    </xf>
    <xf numFmtId="0" fontId="26" fillId="12" borderId="6" xfId="0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vertical="center"/>
    </xf>
    <xf numFmtId="0" fontId="27" fillId="12" borderId="1" xfId="0" applyFont="1" applyFill="1" applyBorder="1" applyAlignment="1">
      <alignment horizontal="center" vertical="center"/>
    </xf>
    <xf numFmtId="0" fontId="28" fillId="12" borderId="1" xfId="0" applyFont="1" applyFill="1" applyBorder="1" applyAlignment="1">
      <alignment horizontal="center" vertical="center"/>
    </xf>
    <xf numFmtId="0" fontId="27" fillId="12" borderId="5" xfId="0" applyFont="1" applyFill="1" applyBorder="1" applyAlignment="1">
      <alignment horizontal="center" vertical="center"/>
    </xf>
    <xf numFmtId="0" fontId="26" fillId="12" borderId="1" xfId="0" applyFont="1" applyFill="1" applyBorder="1" applyAlignment="1">
      <alignment vertical="center"/>
    </xf>
    <xf numFmtId="0" fontId="28" fillId="3" borderId="1" xfId="0" applyFont="1" applyFill="1" applyBorder="1" applyAlignment="1">
      <alignment horizontal="center" vertical="center"/>
    </xf>
    <xf numFmtId="2" fontId="27" fillId="0" borderId="12" xfId="0" applyNumberFormat="1" applyFont="1" applyBorder="1" applyAlignment="1">
      <alignment horizontal="center" vertical="center"/>
    </xf>
    <xf numFmtId="2" fontId="27" fillId="11" borderId="12" xfId="0" applyNumberFormat="1" applyFont="1" applyFill="1" applyBorder="1" applyAlignment="1">
      <alignment horizontal="center" vertical="center"/>
    </xf>
    <xf numFmtId="2" fontId="27" fillId="11" borderId="3" xfId="0" applyNumberFormat="1" applyFont="1" applyFill="1" applyBorder="1" applyAlignment="1">
      <alignment horizontal="center" vertical="center"/>
    </xf>
    <xf numFmtId="164" fontId="27" fillId="12" borderId="1" xfId="0" applyNumberFormat="1" applyFont="1" applyFill="1" applyBorder="1" applyAlignment="1">
      <alignment horizontal="center" vertical="center"/>
    </xf>
    <xf numFmtId="2" fontId="27" fillId="12" borderId="1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16" fillId="0" borderId="25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59" xfId="0" applyFont="1" applyFill="1" applyBorder="1" applyAlignment="1">
      <alignment horizontal="center" vertical="center"/>
    </xf>
    <xf numFmtId="0" fontId="26" fillId="0" borderId="5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164" fontId="27" fillId="0" borderId="12" xfId="0" applyNumberFormat="1" applyFont="1" applyBorder="1" applyAlignment="1">
      <alignment horizontal="center" vertical="center"/>
    </xf>
    <xf numFmtId="164" fontId="27" fillId="7" borderId="1" xfId="0" applyNumberFormat="1" applyFont="1" applyFill="1" applyBorder="1" applyAlignment="1">
      <alignment horizontal="center" vertical="center"/>
    </xf>
    <xf numFmtId="0" fontId="26" fillId="12" borderId="23" xfId="0" applyFont="1" applyFill="1" applyBorder="1" applyAlignment="1">
      <alignment horizontal="center" vertical="center"/>
    </xf>
    <xf numFmtId="0" fontId="26" fillId="7" borderId="4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vertical="center"/>
    </xf>
    <xf numFmtId="0" fontId="27" fillId="7" borderId="3" xfId="0" applyFont="1" applyFill="1" applyBorder="1" applyAlignment="1">
      <alignment horizontal="center" vertical="center"/>
    </xf>
    <xf numFmtId="164" fontId="27" fillId="7" borderId="3" xfId="0" applyNumberFormat="1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30" fillId="0" borderId="0" xfId="0" applyFont="1"/>
    <xf numFmtId="0" fontId="26" fillId="0" borderId="3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27" fillId="0" borderId="8" xfId="0" applyFont="1" applyBorder="1" applyAlignment="1">
      <alignment vertical="center"/>
    </xf>
    <xf numFmtId="0" fontId="27" fillId="0" borderId="8" xfId="0" applyFont="1" applyBorder="1" applyAlignment="1">
      <alignment horizontal="center" vertical="center"/>
    </xf>
    <xf numFmtId="0" fontId="26" fillId="0" borderId="12" xfId="0" applyFont="1" applyBorder="1" applyAlignment="1">
      <alignment vertical="center"/>
    </xf>
    <xf numFmtId="0" fontId="27" fillId="0" borderId="31" xfId="0" applyFont="1" applyBorder="1" applyAlignment="1">
      <alignment vertical="center"/>
    </xf>
    <xf numFmtId="0" fontId="27" fillId="0" borderId="31" xfId="0" applyFont="1" applyBorder="1" applyAlignment="1">
      <alignment horizontal="center" vertical="center"/>
    </xf>
    <xf numFmtId="0" fontId="26" fillId="0" borderId="0" xfId="0" applyFont="1" applyBorder="1" applyAlignment="1"/>
    <xf numFmtId="0" fontId="32" fillId="0" borderId="0" xfId="0" applyFont="1"/>
    <xf numFmtId="0" fontId="13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166" fontId="13" fillId="0" borderId="7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166" fontId="13" fillId="0" borderId="5" xfId="0" applyNumberFormat="1" applyFont="1" applyBorder="1" applyAlignment="1">
      <alignment horizontal="center"/>
    </xf>
    <xf numFmtId="166" fontId="13" fillId="8" borderId="5" xfId="0" applyNumberFormat="1" applyFont="1" applyFill="1" applyBorder="1" applyAlignment="1">
      <alignment horizontal="center"/>
    </xf>
    <xf numFmtId="166" fontId="13" fillId="0" borderId="5" xfId="0" applyNumberFormat="1" applyFont="1" applyFill="1" applyBorder="1" applyAlignment="1">
      <alignment horizontal="center"/>
    </xf>
    <xf numFmtId="0" fontId="20" fillId="0" borderId="31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6" fontId="36" fillId="13" borderId="50" xfId="0" applyNumberFormat="1" applyFont="1" applyFill="1" applyBorder="1" applyAlignment="1">
      <alignment horizontal="center"/>
    </xf>
    <xf numFmtId="166" fontId="20" fillId="0" borderId="50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0" applyNumberFormat="1" applyFont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23" xfId="0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0" fontId="13" fillId="0" borderId="48" xfId="0" applyFont="1" applyBorder="1" applyAlignment="1">
      <alignment horizontal="center"/>
    </xf>
    <xf numFmtId="2" fontId="13" fillId="0" borderId="50" xfId="0" applyNumberFormat="1" applyFont="1" applyBorder="1" applyAlignment="1">
      <alignment horizontal="center"/>
    </xf>
    <xf numFmtId="0" fontId="2" fillId="0" borderId="64" xfId="0" applyFont="1" applyFill="1" applyBorder="1" applyAlignment="1">
      <alignment horizontal="center" vertical="center"/>
    </xf>
    <xf numFmtId="166" fontId="36" fillId="0" borderId="50" xfId="0" applyNumberFormat="1" applyFont="1" applyBorder="1" applyAlignment="1">
      <alignment horizontal="center"/>
    </xf>
    <xf numFmtId="0" fontId="2" fillId="0" borderId="66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166" fontId="20" fillId="8" borderId="50" xfId="0" applyNumberFormat="1" applyFont="1" applyFill="1" applyBorder="1" applyAlignment="1">
      <alignment horizontal="center"/>
    </xf>
    <xf numFmtId="166" fontId="36" fillId="8" borderId="50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/>
    <xf numFmtId="0" fontId="13" fillId="0" borderId="33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 textRotation="90" wrapText="1"/>
    </xf>
    <xf numFmtId="0" fontId="17" fillId="0" borderId="14" xfId="0" applyFont="1" applyFill="1" applyBorder="1" applyAlignment="1">
      <alignment horizontal="center" vertical="center" textRotation="90" wrapText="1"/>
    </xf>
    <xf numFmtId="0" fontId="17" fillId="0" borderId="15" xfId="0" applyFont="1" applyFill="1" applyBorder="1" applyAlignment="1">
      <alignment horizontal="center" vertical="center" textRotation="90" wrapText="1"/>
    </xf>
    <xf numFmtId="0" fontId="17" fillId="0" borderId="24" xfId="0" applyFont="1" applyFill="1" applyBorder="1" applyAlignment="1">
      <alignment horizontal="center" vertical="center" textRotation="90"/>
    </xf>
    <xf numFmtId="0" fontId="17" fillId="0" borderId="14" xfId="0" applyFont="1" applyFill="1" applyBorder="1" applyAlignment="1">
      <alignment horizontal="center" vertical="center" textRotation="90"/>
    </xf>
    <xf numFmtId="0" fontId="17" fillId="0" borderId="15" xfId="0" applyFont="1" applyFill="1" applyBorder="1" applyAlignment="1">
      <alignment horizontal="center" vertical="center" textRotation="90"/>
    </xf>
    <xf numFmtId="0" fontId="17" fillId="0" borderId="21" xfId="0" applyFont="1" applyFill="1" applyBorder="1" applyAlignment="1">
      <alignment horizontal="center" vertical="center" textRotation="90" wrapText="1"/>
    </xf>
    <xf numFmtId="0" fontId="17" fillId="0" borderId="21" xfId="0" applyFont="1" applyFill="1" applyBorder="1" applyAlignment="1">
      <alignment horizontal="center" vertical="center" textRotation="90"/>
    </xf>
    <xf numFmtId="0" fontId="0" fillId="0" borderId="9" xfId="0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 textRotation="90"/>
    </xf>
    <xf numFmtId="0" fontId="8" fillId="0" borderId="14" xfId="0" applyFont="1" applyFill="1" applyBorder="1" applyAlignment="1">
      <alignment horizontal="center" vertical="center" textRotation="90"/>
    </xf>
    <xf numFmtId="0" fontId="8" fillId="0" borderId="15" xfId="0" applyFont="1" applyFill="1" applyBorder="1" applyAlignment="1">
      <alignment horizontal="center" vertical="center" textRotation="90"/>
    </xf>
    <xf numFmtId="0" fontId="17" fillId="0" borderId="25" xfId="0" applyFont="1" applyFill="1" applyBorder="1" applyAlignment="1">
      <alignment horizontal="center" vertical="center" textRotation="90" wrapText="1"/>
    </xf>
    <xf numFmtId="0" fontId="17" fillId="0" borderId="25" xfId="0" applyFont="1" applyFill="1" applyBorder="1" applyAlignment="1">
      <alignment horizontal="center" vertical="center" textRotation="90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0" fontId="25" fillId="0" borderId="55" xfId="0" applyFont="1" applyBorder="1" applyAlignment="1">
      <alignment horizontal="center" vertical="center" wrapText="1"/>
    </xf>
    <xf numFmtId="0" fontId="25" fillId="0" borderId="57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56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5" fillId="0" borderId="33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2" fontId="27" fillId="0" borderId="34" xfId="0" applyNumberFormat="1" applyFont="1" applyBorder="1" applyAlignment="1">
      <alignment horizontal="center" vertical="center"/>
    </xf>
    <xf numFmtId="2" fontId="27" fillId="0" borderId="20" xfId="0" applyNumberFormat="1" applyFont="1" applyBorder="1" applyAlignment="1">
      <alignment horizontal="center" vertical="center"/>
    </xf>
    <xf numFmtId="0" fontId="26" fillId="0" borderId="42" xfId="0" applyFont="1" applyBorder="1" applyAlignment="1">
      <alignment horizontal="center" vertical="center"/>
    </xf>
    <xf numFmtId="2" fontId="27" fillId="0" borderId="47" xfId="0" applyNumberFormat="1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/>
    </xf>
    <xf numFmtId="0" fontId="26" fillId="0" borderId="28" xfId="0" applyFont="1" applyBorder="1" applyAlignment="1">
      <alignment horizontal="center"/>
    </xf>
    <xf numFmtId="0" fontId="26" fillId="0" borderId="60" xfId="0" applyFont="1" applyBorder="1" applyAlignment="1">
      <alignment horizontal="center"/>
    </xf>
    <xf numFmtId="0" fontId="20" fillId="0" borderId="51" xfId="0" applyFont="1" applyBorder="1" applyAlignment="1">
      <alignment horizontal="center"/>
    </xf>
    <xf numFmtId="0" fontId="20" fillId="0" borderId="53" xfId="0" applyFont="1" applyBorder="1" applyAlignment="1">
      <alignment horizontal="center"/>
    </xf>
    <xf numFmtId="0" fontId="20" fillId="0" borderId="62" xfId="0" applyFont="1" applyBorder="1" applyAlignment="1">
      <alignment horizontal="center" vertical="center"/>
    </xf>
    <xf numFmtId="0" fontId="20" fillId="0" borderId="65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16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6" fontId="13" fillId="0" borderId="7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166" fontId="13" fillId="0" borderId="10" xfId="0" applyNumberFormat="1" applyFont="1" applyBorder="1" applyAlignment="1">
      <alignment horizontal="center" vertical="center"/>
    </xf>
    <xf numFmtId="166" fontId="13" fillId="0" borderId="31" xfId="0" applyNumberFormat="1" applyFont="1" applyBorder="1" applyAlignment="1">
      <alignment horizontal="center" vertical="center"/>
    </xf>
    <xf numFmtId="166" fontId="13" fillId="0" borderId="11" xfId="0" applyNumberFormat="1" applyFont="1" applyBorder="1" applyAlignment="1">
      <alignment horizontal="center" vertical="center"/>
    </xf>
    <xf numFmtId="166" fontId="13" fillId="0" borderId="20" xfId="0" applyNumberFormat="1" applyFont="1" applyBorder="1" applyAlignment="1">
      <alignment horizontal="center" vertical="center"/>
    </xf>
    <xf numFmtId="166" fontId="13" fillId="0" borderId="5" xfId="0" applyNumberFormat="1" applyFont="1" applyBorder="1" applyAlignment="1">
      <alignment horizontal="center" vertical="center"/>
    </xf>
    <xf numFmtId="0" fontId="20" fillId="0" borderId="62" xfId="0" applyFont="1" applyBorder="1" applyAlignment="1">
      <alignment horizontal="center"/>
    </xf>
    <xf numFmtId="0" fontId="20" fillId="0" borderId="65" xfId="0" applyFont="1" applyBorder="1" applyAlignment="1">
      <alignment horizontal="center"/>
    </xf>
    <xf numFmtId="0" fontId="20" fillId="0" borderId="41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32" xfId="0" applyFont="1" applyBorder="1" applyAlignment="1">
      <alignment horizontal="center" vertical="center" wrapText="1"/>
    </xf>
    <xf numFmtId="0" fontId="0" fillId="0" borderId="42" xfId="0" applyBorder="1"/>
    <xf numFmtId="0" fontId="0" fillId="0" borderId="33" xfId="0" applyBorder="1"/>
    <xf numFmtId="0" fontId="20" fillId="0" borderId="30" xfId="0" applyFont="1" applyBorder="1" applyAlignment="1">
      <alignment horizontal="center" vertical="center"/>
    </xf>
    <xf numFmtId="0" fontId="0" fillId="0" borderId="44" xfId="0" applyBorder="1"/>
    <xf numFmtId="0" fontId="0" fillId="0" borderId="31" xfId="0" applyBorder="1"/>
    <xf numFmtId="0" fontId="20" fillId="0" borderId="55" xfId="0" applyFont="1" applyBorder="1" applyAlignment="1">
      <alignment horizontal="center" vertical="center" wrapText="1"/>
    </xf>
    <xf numFmtId="0" fontId="0" fillId="0" borderId="61" xfId="0" applyBorder="1"/>
    <xf numFmtId="0" fontId="0" fillId="0" borderId="25" xfId="0" applyBorder="1"/>
    <xf numFmtId="0" fontId="0" fillId="0" borderId="63" xfId="0" applyBorder="1"/>
    <xf numFmtId="0" fontId="13" fillId="0" borderId="22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166" fontId="13" fillId="0" borderId="12" xfId="0" applyNumberFormat="1" applyFont="1" applyBorder="1" applyAlignment="1">
      <alignment horizontal="center" vertical="center"/>
    </xf>
    <xf numFmtId="166" fontId="13" fillId="0" borderId="13" xfId="0" applyNumberFormat="1" applyFont="1" applyBorder="1" applyAlignment="1">
      <alignment horizontal="center" vertical="center"/>
    </xf>
    <xf numFmtId="0" fontId="20" fillId="0" borderId="48" xfId="0" applyFont="1" applyBorder="1" applyAlignment="1">
      <alignment horizontal="center"/>
    </xf>
    <xf numFmtId="0" fontId="20" fillId="0" borderId="49" xfId="0" applyFont="1" applyBorder="1" applyAlignment="1">
      <alignment horizontal="center"/>
    </xf>
    <xf numFmtId="0" fontId="20" fillId="0" borderId="50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5" xfId="0" applyFont="1" applyBorder="1" applyAlignment="1">
      <alignment horizontal="center"/>
    </xf>
    <xf numFmtId="0" fontId="18" fillId="0" borderId="26" xfId="0" applyFont="1" applyBorder="1" applyAlignment="1">
      <alignment horizontal="center" vertical="center" textRotation="90"/>
    </xf>
    <xf numFmtId="0" fontId="18" fillId="0" borderId="16" xfId="0" applyFont="1" applyBorder="1" applyAlignment="1">
      <alignment horizontal="center" vertical="center" textRotation="90"/>
    </xf>
    <xf numFmtId="0" fontId="18" fillId="0" borderId="17" xfId="0" applyFont="1" applyBorder="1" applyAlignment="1">
      <alignment horizontal="center" vertical="center" textRotation="90"/>
    </xf>
    <xf numFmtId="0" fontId="20" fillId="0" borderId="48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8A45E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M21"/>
  <sheetViews>
    <sheetView zoomScale="75" zoomScaleNormal="75" workbookViewId="0">
      <selection activeCell="O13" sqref="O13"/>
    </sheetView>
  </sheetViews>
  <sheetFormatPr defaultRowHeight="15"/>
  <cols>
    <col min="3" max="3" width="32.5703125" customWidth="1"/>
    <col min="4" max="4" width="8.42578125" customWidth="1"/>
    <col min="5" max="6" width="11.28515625" customWidth="1"/>
    <col min="7" max="7" width="3.85546875" customWidth="1"/>
    <col min="10" max="10" width="31.140625" customWidth="1"/>
    <col min="11" max="11" width="10.28515625" bestFit="1" customWidth="1"/>
    <col min="12" max="12" width="9.85546875" customWidth="1"/>
  </cols>
  <sheetData>
    <row r="1" spans="1:13" ht="26.25">
      <c r="A1" s="299" t="s">
        <v>91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</row>
    <row r="2" spans="1:13" ht="5.25" customHeight="1"/>
    <row r="3" spans="1:13" ht="19.5" customHeight="1">
      <c r="A3" s="300" t="s">
        <v>11</v>
      </c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</row>
    <row r="4" spans="1:13" ht="15.75" customHeight="1" thickBo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s="1" customFormat="1" ht="30" customHeight="1">
      <c r="A5" s="301" t="s">
        <v>9</v>
      </c>
      <c r="B5" s="303" t="s">
        <v>3</v>
      </c>
      <c r="C5" s="305" t="s">
        <v>2</v>
      </c>
      <c r="D5" s="305" t="s">
        <v>8</v>
      </c>
      <c r="E5" s="307" t="s">
        <v>10</v>
      </c>
      <c r="F5" s="309" t="s">
        <v>12</v>
      </c>
      <c r="G5" s="311"/>
      <c r="H5" s="301" t="s">
        <v>9</v>
      </c>
      <c r="I5" s="303" t="s">
        <v>3</v>
      </c>
      <c r="J5" s="305" t="s">
        <v>2</v>
      </c>
      <c r="K5" s="305" t="s">
        <v>8</v>
      </c>
      <c r="L5" s="305" t="s">
        <v>10</v>
      </c>
      <c r="M5" s="314" t="s">
        <v>12</v>
      </c>
    </row>
    <row r="6" spans="1:13" s="1" customFormat="1" ht="30" customHeight="1" thickBot="1">
      <c r="A6" s="302"/>
      <c r="B6" s="304"/>
      <c r="C6" s="306"/>
      <c r="D6" s="306"/>
      <c r="E6" s="308"/>
      <c r="F6" s="310"/>
      <c r="G6" s="312"/>
      <c r="H6" s="302"/>
      <c r="I6" s="304"/>
      <c r="J6" s="306"/>
      <c r="K6" s="306"/>
      <c r="L6" s="306"/>
      <c r="M6" s="315"/>
    </row>
    <row r="7" spans="1:13" s="2" customFormat="1" ht="30" customHeight="1">
      <c r="A7" s="301">
        <v>1</v>
      </c>
      <c r="B7" s="318" t="s">
        <v>15</v>
      </c>
      <c r="C7" s="49" t="s">
        <v>23</v>
      </c>
      <c r="D7" s="50" t="s">
        <v>34</v>
      </c>
      <c r="E7" s="51" t="s">
        <v>92</v>
      </c>
      <c r="F7" s="52" t="s">
        <v>93</v>
      </c>
      <c r="G7" s="312"/>
      <c r="H7" s="301">
        <v>6</v>
      </c>
      <c r="I7" s="321" t="s">
        <v>20</v>
      </c>
      <c r="J7" s="49" t="s">
        <v>94</v>
      </c>
      <c r="K7" s="50" t="s">
        <v>44</v>
      </c>
      <c r="L7" s="51" t="s">
        <v>95</v>
      </c>
      <c r="M7" s="53" t="s">
        <v>96</v>
      </c>
    </row>
    <row r="8" spans="1:13" s="2" customFormat="1" ht="30" customHeight="1">
      <c r="A8" s="316"/>
      <c r="B8" s="319"/>
      <c r="C8" s="54" t="s">
        <v>22</v>
      </c>
      <c r="D8" s="55" t="s">
        <v>35</v>
      </c>
      <c r="E8" s="56" t="s">
        <v>97</v>
      </c>
      <c r="F8" s="57" t="s">
        <v>87</v>
      </c>
      <c r="G8" s="312"/>
      <c r="H8" s="316"/>
      <c r="I8" s="322"/>
      <c r="J8" s="54" t="s">
        <v>98</v>
      </c>
      <c r="K8" s="55" t="s">
        <v>45</v>
      </c>
      <c r="L8" s="56" t="s">
        <v>99</v>
      </c>
      <c r="M8" s="58" t="s">
        <v>100</v>
      </c>
    </row>
    <row r="9" spans="1:13" s="2" customFormat="1" ht="30" customHeight="1" thickBot="1">
      <c r="A9" s="302"/>
      <c r="B9" s="324"/>
      <c r="C9" s="59"/>
      <c r="D9" s="60"/>
      <c r="E9" s="61"/>
      <c r="F9" s="62"/>
      <c r="G9" s="312"/>
      <c r="H9" s="302"/>
      <c r="I9" s="325"/>
      <c r="J9" s="59" t="s">
        <v>101</v>
      </c>
      <c r="K9" s="60" t="s">
        <v>102</v>
      </c>
      <c r="L9" s="61" t="s">
        <v>103</v>
      </c>
      <c r="M9" s="63" t="s">
        <v>52</v>
      </c>
    </row>
    <row r="10" spans="1:13" s="2" customFormat="1" ht="30" customHeight="1">
      <c r="A10" s="301">
        <v>2</v>
      </c>
      <c r="B10" s="318" t="s">
        <v>104</v>
      </c>
      <c r="C10" s="49" t="s">
        <v>105</v>
      </c>
      <c r="D10" s="50" t="s">
        <v>36</v>
      </c>
      <c r="E10" s="51" t="s">
        <v>106</v>
      </c>
      <c r="F10" s="52" t="s">
        <v>52</v>
      </c>
      <c r="G10" s="312"/>
      <c r="H10" s="301">
        <v>7</v>
      </c>
      <c r="I10" s="321" t="s">
        <v>82</v>
      </c>
      <c r="J10" s="49" t="s">
        <v>32</v>
      </c>
      <c r="K10" s="50" t="s">
        <v>46</v>
      </c>
      <c r="L10" s="51" t="s">
        <v>107</v>
      </c>
      <c r="M10" s="53" t="s">
        <v>52</v>
      </c>
    </row>
    <row r="11" spans="1:13" s="2" customFormat="1" ht="30" customHeight="1">
      <c r="A11" s="316"/>
      <c r="B11" s="319"/>
      <c r="C11" s="54" t="s">
        <v>108</v>
      </c>
      <c r="D11" s="55" t="s">
        <v>37</v>
      </c>
      <c r="E11" s="56" t="s">
        <v>109</v>
      </c>
      <c r="F11" s="57" t="s">
        <v>78</v>
      </c>
      <c r="G11" s="312"/>
      <c r="H11" s="316"/>
      <c r="I11" s="322"/>
      <c r="J11" s="54" t="s">
        <v>31</v>
      </c>
      <c r="K11" s="55" t="s">
        <v>47</v>
      </c>
      <c r="L11" s="56" t="s">
        <v>107</v>
      </c>
      <c r="M11" s="58" t="s">
        <v>52</v>
      </c>
    </row>
    <row r="12" spans="1:13" s="2" customFormat="1" ht="30" customHeight="1" thickBot="1">
      <c r="A12" s="317"/>
      <c r="B12" s="320"/>
      <c r="C12" s="64" t="s">
        <v>110</v>
      </c>
      <c r="D12" s="65" t="s">
        <v>111</v>
      </c>
      <c r="E12" s="66" t="s">
        <v>112</v>
      </c>
      <c r="F12" s="67" t="s">
        <v>113</v>
      </c>
      <c r="G12" s="312"/>
      <c r="H12" s="317"/>
      <c r="I12" s="323"/>
      <c r="J12" s="64" t="s">
        <v>21</v>
      </c>
      <c r="K12" s="65" t="s">
        <v>114</v>
      </c>
      <c r="L12" s="66" t="s">
        <v>115</v>
      </c>
      <c r="M12" s="68" t="s">
        <v>116</v>
      </c>
    </row>
    <row r="13" spans="1:13" s="2" customFormat="1" ht="30" customHeight="1">
      <c r="A13" s="326">
        <v>3</v>
      </c>
      <c r="B13" s="330" t="s">
        <v>117</v>
      </c>
      <c r="C13" s="69" t="s">
        <v>118</v>
      </c>
      <c r="D13" s="70" t="s">
        <v>38</v>
      </c>
      <c r="E13" s="71" t="s">
        <v>119</v>
      </c>
      <c r="F13" s="72" t="s">
        <v>52</v>
      </c>
      <c r="G13" s="312"/>
      <c r="H13" s="326">
        <v>8</v>
      </c>
      <c r="I13" s="331" t="s">
        <v>16</v>
      </c>
      <c r="J13" s="69" t="s">
        <v>26</v>
      </c>
      <c r="K13" s="70" t="s">
        <v>48</v>
      </c>
      <c r="L13" s="71" t="s">
        <v>120</v>
      </c>
      <c r="M13" s="73" t="s">
        <v>121</v>
      </c>
    </row>
    <row r="14" spans="1:13" s="2" customFormat="1" ht="30" customHeight="1">
      <c r="A14" s="316"/>
      <c r="B14" s="319"/>
      <c r="C14" s="54" t="s">
        <v>122</v>
      </c>
      <c r="D14" s="55" t="s">
        <v>39</v>
      </c>
      <c r="E14" s="56" t="s">
        <v>123</v>
      </c>
      <c r="F14" s="57" t="s">
        <v>85</v>
      </c>
      <c r="G14" s="312"/>
      <c r="H14" s="316"/>
      <c r="I14" s="322"/>
      <c r="J14" s="54" t="s">
        <v>27</v>
      </c>
      <c r="K14" s="55" t="s">
        <v>49</v>
      </c>
      <c r="L14" s="56" t="s">
        <v>124</v>
      </c>
      <c r="M14" s="58" t="s">
        <v>52</v>
      </c>
    </row>
    <row r="15" spans="1:13" s="2" customFormat="1" ht="30" customHeight="1" thickBot="1">
      <c r="A15" s="317"/>
      <c r="B15" s="320"/>
      <c r="C15" s="64"/>
      <c r="D15" s="65"/>
      <c r="E15" s="66"/>
      <c r="F15" s="67"/>
      <c r="G15" s="312"/>
      <c r="H15" s="317"/>
      <c r="I15" s="323"/>
      <c r="J15" s="64"/>
      <c r="K15" s="65"/>
      <c r="L15" s="66"/>
      <c r="M15" s="68"/>
    </row>
    <row r="16" spans="1:13" s="2" customFormat="1" ht="30" customHeight="1">
      <c r="A16" s="326">
        <v>4</v>
      </c>
      <c r="B16" s="330" t="s">
        <v>125</v>
      </c>
      <c r="C16" s="69" t="s">
        <v>25</v>
      </c>
      <c r="D16" s="70" t="s">
        <v>41</v>
      </c>
      <c r="E16" s="71" t="s">
        <v>126</v>
      </c>
      <c r="F16" s="72" t="s">
        <v>52</v>
      </c>
      <c r="G16" s="312"/>
      <c r="H16" s="301">
        <v>9</v>
      </c>
      <c r="I16" s="321" t="s">
        <v>17</v>
      </c>
      <c r="J16" s="49" t="s">
        <v>28</v>
      </c>
      <c r="K16" s="50" t="s">
        <v>50</v>
      </c>
      <c r="L16" s="51" t="s">
        <v>107</v>
      </c>
      <c r="M16" s="53" t="s">
        <v>52</v>
      </c>
    </row>
    <row r="17" spans="1:13" s="2" customFormat="1" ht="30" customHeight="1">
      <c r="A17" s="316"/>
      <c r="B17" s="319"/>
      <c r="C17" s="54" t="s">
        <v>24</v>
      </c>
      <c r="D17" s="55" t="s">
        <v>40</v>
      </c>
      <c r="E17" s="56" t="s">
        <v>127</v>
      </c>
      <c r="F17" s="57" t="s">
        <v>128</v>
      </c>
      <c r="G17" s="312"/>
      <c r="H17" s="316"/>
      <c r="I17" s="322"/>
      <c r="J17" s="54" t="s">
        <v>29</v>
      </c>
      <c r="K17" s="55" t="s">
        <v>51</v>
      </c>
      <c r="L17" s="56" t="s">
        <v>129</v>
      </c>
      <c r="M17" s="58" t="s">
        <v>130</v>
      </c>
    </row>
    <row r="18" spans="1:13" s="2" customFormat="1" ht="30" customHeight="1" thickBot="1">
      <c r="A18" s="302"/>
      <c r="B18" s="324"/>
      <c r="C18" s="59"/>
      <c r="D18" s="60"/>
      <c r="E18" s="61"/>
      <c r="F18" s="62"/>
      <c r="G18" s="312"/>
      <c r="H18" s="317"/>
      <c r="I18" s="323"/>
      <c r="J18" s="64"/>
      <c r="K18" s="65"/>
      <c r="L18" s="66"/>
      <c r="M18" s="68"/>
    </row>
    <row r="19" spans="1:13" s="2" customFormat="1" ht="30" customHeight="1">
      <c r="A19" s="301">
        <v>5</v>
      </c>
      <c r="B19" s="318" t="s">
        <v>19</v>
      </c>
      <c r="C19" s="49" t="s">
        <v>18</v>
      </c>
      <c r="D19" s="50" t="s">
        <v>42</v>
      </c>
      <c r="E19" s="51" t="s">
        <v>107</v>
      </c>
      <c r="F19" s="52" t="s">
        <v>52</v>
      </c>
      <c r="G19" s="312"/>
      <c r="H19" s="326">
        <v>10</v>
      </c>
      <c r="I19" s="327"/>
      <c r="J19" s="69"/>
      <c r="K19" s="74"/>
      <c r="L19" s="9"/>
      <c r="M19" s="75"/>
    </row>
    <row r="20" spans="1:13" s="2" customFormat="1" ht="30" customHeight="1">
      <c r="A20" s="316"/>
      <c r="B20" s="319"/>
      <c r="C20" s="54" t="s">
        <v>131</v>
      </c>
      <c r="D20" s="55" t="s">
        <v>43</v>
      </c>
      <c r="E20" s="56" t="s">
        <v>132</v>
      </c>
      <c r="F20" s="57" t="s">
        <v>52</v>
      </c>
      <c r="G20" s="312"/>
      <c r="H20" s="316"/>
      <c r="I20" s="328"/>
      <c r="J20" s="54"/>
      <c r="K20" s="7"/>
      <c r="L20" s="76"/>
      <c r="M20" s="77"/>
    </row>
    <row r="21" spans="1:13" s="2" customFormat="1" ht="30" customHeight="1" thickBot="1">
      <c r="A21" s="317"/>
      <c r="B21" s="320"/>
      <c r="C21" s="64"/>
      <c r="D21" s="65"/>
      <c r="E21" s="66"/>
      <c r="F21" s="67"/>
      <c r="G21" s="313"/>
      <c r="H21" s="317"/>
      <c r="I21" s="329"/>
      <c r="J21" s="64"/>
      <c r="K21" s="8"/>
      <c r="L21" s="78"/>
      <c r="M21" s="79"/>
    </row>
  </sheetData>
  <mergeCells count="35">
    <mergeCell ref="A19:A21"/>
    <mergeCell ref="B19:B21"/>
    <mergeCell ref="H19:H21"/>
    <mergeCell ref="I19:I21"/>
    <mergeCell ref="A13:A15"/>
    <mergeCell ref="B13:B15"/>
    <mergeCell ref="H13:H15"/>
    <mergeCell ref="I13:I15"/>
    <mergeCell ref="A16:A18"/>
    <mergeCell ref="B16:B18"/>
    <mergeCell ref="H16:H18"/>
    <mergeCell ref="I16:I18"/>
    <mergeCell ref="B10:B12"/>
    <mergeCell ref="H10:H12"/>
    <mergeCell ref="I10:I12"/>
    <mergeCell ref="A7:A9"/>
    <mergeCell ref="B7:B9"/>
    <mergeCell ref="H7:H9"/>
    <mergeCell ref="I7:I9"/>
    <mergeCell ref="A1:M1"/>
    <mergeCell ref="A3:M3"/>
    <mergeCell ref="A5:A6"/>
    <mergeCell ref="B5:B6"/>
    <mergeCell ref="C5:C6"/>
    <mergeCell ref="D5:D6"/>
    <mergeCell ref="E5:E6"/>
    <mergeCell ref="F5:F6"/>
    <mergeCell ref="G5:G21"/>
    <mergeCell ref="H5:H6"/>
    <mergeCell ref="I5:I6"/>
    <mergeCell ref="J5:J6"/>
    <mergeCell ref="K5:K6"/>
    <mergeCell ref="L5:L6"/>
    <mergeCell ref="M5:M6"/>
    <mergeCell ref="A10:A12"/>
  </mergeCells>
  <pageMargins left="0.31496062992125984" right="0.31496062992125984" top="0.15748031496062992" bottom="0.11811023622047245" header="0.31496062992125984" footer="0.31496062992125984"/>
  <pageSetup paperSize="9" scale="86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tabSelected="1" zoomScale="110" zoomScaleNormal="110" workbookViewId="0">
      <selection activeCell="E10" sqref="E10"/>
    </sheetView>
  </sheetViews>
  <sheetFormatPr defaultRowHeight="15"/>
  <cols>
    <col min="1" max="1" width="9.140625" style="44"/>
    <col min="2" max="2" width="19.5703125" style="44" customWidth="1"/>
    <col min="3" max="3" width="7.140625" style="44" customWidth="1"/>
    <col min="4" max="4" width="11.5703125" style="44" customWidth="1"/>
    <col min="5" max="5" width="7" style="44" customWidth="1"/>
    <col min="6" max="6" width="10.42578125" style="44" customWidth="1"/>
    <col min="7" max="7" width="16.7109375" style="44" customWidth="1"/>
    <col min="8" max="8" width="11.140625" style="44" customWidth="1"/>
    <col min="9" max="9" width="9" style="44" customWidth="1"/>
  </cols>
  <sheetData>
    <row r="1" spans="1:9" ht="19.5">
      <c r="A1" s="332" t="s">
        <v>141</v>
      </c>
      <c r="B1" s="332"/>
      <c r="C1" s="332"/>
      <c r="D1" s="332"/>
      <c r="E1" s="332"/>
      <c r="F1" s="332"/>
      <c r="G1" s="332"/>
      <c r="H1" s="332"/>
      <c r="I1" s="332"/>
    </row>
    <row r="2" spans="1:9" ht="17.25">
      <c r="A2" s="333" t="s">
        <v>142</v>
      </c>
      <c r="B2" s="333"/>
      <c r="C2" s="333"/>
      <c r="D2" s="333"/>
      <c r="E2" s="333"/>
      <c r="F2" s="333"/>
      <c r="G2" s="333"/>
      <c r="H2" s="333"/>
      <c r="I2" s="333"/>
    </row>
    <row r="3" spans="1:9" ht="6" customHeight="1" thickBot="1"/>
    <row r="4" spans="1:9" s="2" customFormat="1">
      <c r="A4" s="334" t="s">
        <v>53</v>
      </c>
      <c r="B4" s="336" t="s">
        <v>3</v>
      </c>
      <c r="C4" s="338" t="s">
        <v>54</v>
      </c>
      <c r="D4" s="334" t="s">
        <v>55</v>
      </c>
      <c r="E4" s="314"/>
      <c r="F4" s="340" t="s">
        <v>56</v>
      </c>
      <c r="G4" s="336"/>
      <c r="H4" s="334" t="s">
        <v>57</v>
      </c>
      <c r="I4" s="314"/>
    </row>
    <row r="5" spans="1:9" s="12" customFormat="1" ht="15.75" thickBot="1">
      <c r="A5" s="335"/>
      <c r="B5" s="337"/>
      <c r="C5" s="339"/>
      <c r="D5" s="40" t="s">
        <v>58</v>
      </c>
      <c r="E5" s="11" t="s">
        <v>53</v>
      </c>
      <c r="F5" s="8" t="s">
        <v>59</v>
      </c>
      <c r="G5" s="42" t="s">
        <v>60</v>
      </c>
      <c r="H5" s="40" t="s">
        <v>58</v>
      </c>
      <c r="I5" s="11" t="s">
        <v>61</v>
      </c>
    </row>
    <row r="6" spans="1:9" s="2" customFormat="1" ht="24.95" customHeight="1">
      <c r="A6" s="39">
        <v>1</v>
      </c>
      <c r="B6" s="13" t="s">
        <v>65</v>
      </c>
      <c r="C6" s="38">
        <v>1</v>
      </c>
      <c r="D6" s="14">
        <v>41.25</v>
      </c>
      <c r="E6" s="38">
        <v>2</v>
      </c>
      <c r="F6" s="43">
        <v>320</v>
      </c>
      <c r="G6" s="41" t="s">
        <v>143</v>
      </c>
      <c r="H6" s="39">
        <v>41.05</v>
      </c>
      <c r="I6" s="38">
        <v>262</v>
      </c>
    </row>
    <row r="7" spans="1:9" s="2" customFormat="1" ht="24.95" customHeight="1">
      <c r="A7" s="4">
        <v>2</v>
      </c>
      <c r="B7" s="15" t="s">
        <v>62</v>
      </c>
      <c r="C7" s="16">
        <v>9</v>
      </c>
      <c r="D7" s="4">
        <v>41.41</v>
      </c>
      <c r="E7" s="16">
        <v>4</v>
      </c>
      <c r="F7" s="7">
        <v>320</v>
      </c>
      <c r="G7" s="17">
        <v>3.63</v>
      </c>
      <c r="H7" s="45">
        <v>40.79</v>
      </c>
      <c r="I7" s="16">
        <v>189</v>
      </c>
    </row>
    <row r="8" spans="1:9" s="2" customFormat="1" ht="24.95" customHeight="1">
      <c r="A8" s="4">
        <v>3</v>
      </c>
      <c r="B8" s="15" t="s">
        <v>82</v>
      </c>
      <c r="C8" s="16">
        <v>7</v>
      </c>
      <c r="D8" s="4">
        <v>41.5</v>
      </c>
      <c r="E8" s="16">
        <v>5</v>
      </c>
      <c r="F8" s="7">
        <v>319</v>
      </c>
      <c r="G8" s="17" t="s">
        <v>63</v>
      </c>
      <c r="H8" s="18">
        <v>41.23</v>
      </c>
      <c r="I8" s="16">
        <v>184</v>
      </c>
    </row>
    <row r="9" spans="1:9" s="2" customFormat="1" ht="24.95" customHeight="1">
      <c r="A9" s="4">
        <v>4</v>
      </c>
      <c r="B9" s="15" t="s">
        <v>66</v>
      </c>
      <c r="C9" s="16">
        <v>8</v>
      </c>
      <c r="D9" s="45">
        <v>41.23</v>
      </c>
      <c r="E9" s="46">
        <v>1</v>
      </c>
      <c r="F9" s="7">
        <v>319</v>
      </c>
      <c r="G9" s="17" t="s">
        <v>63</v>
      </c>
      <c r="H9" s="18">
        <v>41.07</v>
      </c>
      <c r="I9" s="16">
        <v>150</v>
      </c>
    </row>
    <row r="10" spans="1:9" s="2" customFormat="1" ht="24.95" customHeight="1">
      <c r="A10" s="4">
        <v>5</v>
      </c>
      <c r="B10" s="15" t="s">
        <v>64</v>
      </c>
      <c r="C10" s="16">
        <v>5</v>
      </c>
      <c r="D10" s="36">
        <v>41.36</v>
      </c>
      <c r="E10" s="47">
        <v>3</v>
      </c>
      <c r="F10" s="7">
        <v>318</v>
      </c>
      <c r="G10" s="17" t="s">
        <v>69</v>
      </c>
      <c r="H10" s="36">
        <v>40.98</v>
      </c>
      <c r="I10" s="16">
        <v>181</v>
      </c>
    </row>
    <row r="11" spans="1:9" s="2" customFormat="1" ht="24.95" customHeight="1">
      <c r="A11" s="4">
        <v>6</v>
      </c>
      <c r="B11" s="15" t="s">
        <v>117</v>
      </c>
      <c r="C11" s="16">
        <v>3</v>
      </c>
      <c r="D11" s="4">
        <v>41.9</v>
      </c>
      <c r="E11" s="16">
        <v>6</v>
      </c>
      <c r="F11" s="7">
        <v>318</v>
      </c>
      <c r="G11" s="17" t="s">
        <v>69</v>
      </c>
      <c r="H11" s="4">
        <v>41.27</v>
      </c>
      <c r="I11" s="16">
        <v>37</v>
      </c>
    </row>
    <row r="12" spans="1:9" s="2" customFormat="1" ht="24.95" customHeight="1">
      <c r="A12" s="4">
        <v>7</v>
      </c>
      <c r="B12" s="15" t="s">
        <v>67</v>
      </c>
      <c r="C12" s="16">
        <v>4</v>
      </c>
      <c r="D12" s="4">
        <v>41.91</v>
      </c>
      <c r="E12" s="16">
        <v>7</v>
      </c>
      <c r="F12" s="7">
        <v>315</v>
      </c>
      <c r="G12" s="17" t="s">
        <v>70</v>
      </c>
      <c r="H12" s="4">
        <v>41.39</v>
      </c>
      <c r="I12" s="16">
        <v>225</v>
      </c>
    </row>
    <row r="13" spans="1:9" s="2" customFormat="1" ht="24.95" customHeight="1">
      <c r="A13" s="4">
        <v>8</v>
      </c>
      <c r="B13" s="19" t="s">
        <v>133</v>
      </c>
      <c r="C13" s="20">
        <v>2</v>
      </c>
      <c r="D13" s="5">
        <v>42.6</v>
      </c>
      <c r="E13" s="20">
        <v>8</v>
      </c>
      <c r="F13" s="21">
        <v>311</v>
      </c>
      <c r="G13" s="17" t="s">
        <v>134</v>
      </c>
      <c r="H13" s="5">
        <v>41.72</v>
      </c>
      <c r="I13" s="20">
        <v>168</v>
      </c>
    </row>
    <row r="14" spans="1:9" s="2" customFormat="1" ht="24.95" customHeight="1" thickBot="1">
      <c r="A14" s="40">
        <v>9</v>
      </c>
      <c r="B14" s="22" t="s">
        <v>68</v>
      </c>
      <c r="C14" s="11">
        <v>6</v>
      </c>
      <c r="D14" s="40">
        <v>42.96</v>
      </c>
      <c r="E14" s="11">
        <v>9</v>
      </c>
      <c r="F14" s="8">
        <v>308</v>
      </c>
      <c r="G14" s="11" t="s">
        <v>71</v>
      </c>
      <c r="H14" s="40">
        <v>41.9</v>
      </c>
      <c r="I14" s="11">
        <v>30</v>
      </c>
    </row>
    <row r="17" spans="1:1">
      <c r="A17" s="48"/>
    </row>
  </sheetData>
  <mergeCells count="8">
    <mergeCell ref="A1:I1"/>
    <mergeCell ref="A2:I2"/>
    <mergeCell ref="A4:A5"/>
    <mergeCell ref="B4:B5"/>
    <mergeCell ref="C4:C5"/>
    <mergeCell ref="D4:E4"/>
    <mergeCell ref="F4:G4"/>
    <mergeCell ref="H4:I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Q50"/>
  <sheetViews>
    <sheetView topLeftCell="A4" zoomScale="75" zoomScaleNormal="75" workbookViewId="0">
      <selection activeCell="C36" sqref="C36"/>
    </sheetView>
  </sheetViews>
  <sheetFormatPr defaultRowHeight="15"/>
  <cols>
    <col min="1" max="1" width="7.7109375" style="44" customWidth="1"/>
    <col min="2" max="2" width="21.85546875" customWidth="1"/>
    <col min="3" max="3" width="13.85546875" style="44" customWidth="1"/>
    <col min="4" max="4" width="12.85546875" style="44" customWidth="1"/>
    <col min="5" max="5" width="8.28515625" style="44" customWidth="1"/>
    <col min="6" max="6" width="6.28515625" customWidth="1"/>
    <col min="7" max="7" width="7.85546875" style="44" customWidth="1"/>
    <col min="8" max="8" width="21" customWidth="1"/>
    <col min="9" max="9" width="14.140625" style="44" customWidth="1"/>
    <col min="10" max="10" width="13" style="44" customWidth="1"/>
    <col min="11" max="11" width="8.7109375" style="44" customWidth="1"/>
    <col min="13" max="13" width="7.85546875" style="44" customWidth="1"/>
    <col min="14" max="14" width="21.7109375" customWidth="1"/>
    <col min="15" max="15" width="14.140625" style="44" customWidth="1"/>
    <col min="16" max="16" width="13" style="44" customWidth="1"/>
    <col min="17" max="17" width="8.7109375" style="44" customWidth="1"/>
  </cols>
  <sheetData>
    <row r="1" spans="1:17" ht="26.25">
      <c r="A1" s="299" t="s">
        <v>91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</row>
    <row r="2" spans="1:17" ht="4.5" customHeight="1"/>
    <row r="3" spans="1:17" ht="23.25">
      <c r="A3" s="355" t="s">
        <v>163</v>
      </c>
      <c r="B3" s="355"/>
      <c r="C3" s="355"/>
      <c r="D3" s="355"/>
      <c r="E3" s="355"/>
      <c r="F3" s="137"/>
      <c r="G3" s="355" t="s">
        <v>164</v>
      </c>
      <c r="H3" s="355"/>
      <c r="I3" s="355"/>
      <c r="J3" s="355"/>
      <c r="K3" s="355"/>
      <c r="M3" s="355" t="s">
        <v>165</v>
      </c>
      <c r="N3" s="355"/>
      <c r="O3" s="355"/>
      <c r="P3" s="355"/>
      <c r="Q3" s="355"/>
    </row>
    <row r="4" spans="1:17" ht="3.75" customHeight="1" thickBot="1"/>
    <row r="5" spans="1:17" s="139" customFormat="1" ht="16.5" customHeight="1">
      <c r="A5" s="352"/>
      <c r="B5" s="347" t="s">
        <v>2</v>
      </c>
      <c r="C5" s="341" t="s">
        <v>3</v>
      </c>
      <c r="D5" s="343" t="s">
        <v>145</v>
      </c>
      <c r="E5" s="345" t="s">
        <v>5</v>
      </c>
      <c r="F5" s="138"/>
      <c r="G5" s="352"/>
      <c r="H5" s="347" t="s">
        <v>2</v>
      </c>
      <c r="I5" s="341" t="s">
        <v>3</v>
      </c>
      <c r="J5" s="343" t="s">
        <v>166</v>
      </c>
      <c r="K5" s="345" t="s">
        <v>5</v>
      </c>
      <c r="M5" s="352"/>
      <c r="N5" s="347" t="s">
        <v>2</v>
      </c>
      <c r="O5" s="341" t="s">
        <v>3</v>
      </c>
      <c r="P5" s="343" t="s">
        <v>167</v>
      </c>
      <c r="Q5" s="345" t="s">
        <v>5</v>
      </c>
    </row>
    <row r="6" spans="1:17" s="139" customFormat="1" ht="17.25" customHeight="1" thickBot="1">
      <c r="A6" s="356"/>
      <c r="B6" s="348"/>
      <c r="C6" s="349"/>
      <c r="D6" s="350"/>
      <c r="E6" s="351"/>
      <c r="F6" s="138"/>
      <c r="G6" s="356"/>
      <c r="H6" s="348"/>
      <c r="I6" s="349"/>
      <c r="J6" s="350"/>
      <c r="K6" s="351"/>
      <c r="M6" s="353"/>
      <c r="N6" s="354"/>
      <c r="O6" s="342"/>
      <c r="P6" s="344"/>
      <c r="Q6" s="346"/>
    </row>
    <row r="7" spans="1:17" s="2" customFormat="1" ht="27.95" customHeight="1">
      <c r="A7" s="209">
        <v>1</v>
      </c>
      <c r="B7" s="210" t="s">
        <v>28</v>
      </c>
      <c r="C7" s="211" t="s">
        <v>151</v>
      </c>
      <c r="D7" s="212">
        <v>40.79</v>
      </c>
      <c r="E7" s="213">
        <v>1</v>
      </c>
      <c r="F7" s="140"/>
      <c r="G7" s="209">
        <v>1</v>
      </c>
      <c r="H7" s="210" t="s">
        <v>28</v>
      </c>
      <c r="I7" s="211" t="s">
        <v>151</v>
      </c>
      <c r="J7" s="223">
        <f>(42.46+41.89+41.64+41.49+41.32+41.63+41.56+41.19+41.38+41.27+41.07+40.99+41.59+41.21+41.27+41.13+41.26+41.24+41.28+41.15+41.08+41.07+41.09+41.02+41.23+40.96+41.16+41.27+43.1+41.41+41.11+41.09+40.91+41.14+40.92+40.87+40.79+40.94+40.93+41.51+41.13+41.09+41.11+41.03+40.94+41.1+41+41.1+41.16+41.04+41.05+41.31+41.11+41.05+41.1+41.55+41.51+41.23+41.12+41.36)/60</f>
        <v>41.245166666666684</v>
      </c>
      <c r="K7" s="213">
        <v>1</v>
      </c>
      <c r="M7" s="203">
        <v>1</v>
      </c>
      <c r="N7" s="201" t="s">
        <v>22</v>
      </c>
      <c r="O7" s="202" t="s">
        <v>161</v>
      </c>
      <c r="P7" s="234">
        <v>0.20129032258064683</v>
      </c>
      <c r="Q7" s="204">
        <v>7</v>
      </c>
    </row>
    <row r="8" spans="1:17" s="2" customFormat="1" ht="27.95" customHeight="1">
      <c r="A8" s="215">
        <v>2</v>
      </c>
      <c r="B8" s="216" t="s">
        <v>18</v>
      </c>
      <c r="C8" s="217" t="s">
        <v>19</v>
      </c>
      <c r="D8" s="218">
        <v>40.98</v>
      </c>
      <c r="E8" s="219">
        <v>7</v>
      </c>
      <c r="F8" s="140"/>
      <c r="G8" s="145">
        <v>2</v>
      </c>
      <c r="H8" s="146" t="s">
        <v>27</v>
      </c>
      <c r="I8" s="147" t="s">
        <v>16</v>
      </c>
      <c r="J8" s="148">
        <f>(42.13+41.62+41.55+41.47+41.24+41.26+41.39+41.42+41.08+41.29+41.8+41.29+41.89+41.32+41.39+41.26+41.38+41.28+41.32+41.34+41.41+41.32+41.25+41.25+41.08+41.16+41.38+41.54+41.3+41.37+41.24+41.07+41.21+41.32+41.48+41.41+41.29+41.28+41.19+41.49+41.23+41.28+41.25+41.21+41.21+41.11+41.37+41.37+41.34+41.54+41.22+41.45+41.15+41.31+41.38+41.22+41.39+41.42+41.96+41.74+41.45+41.54+41.46+41.28+41.27+41.41)/66</f>
        <v>41.36848484848484</v>
      </c>
      <c r="K8" s="149">
        <v>12</v>
      </c>
      <c r="M8" s="141">
        <v>2</v>
      </c>
      <c r="N8" s="142" t="s">
        <v>31</v>
      </c>
      <c r="O8" s="143" t="s">
        <v>159</v>
      </c>
      <c r="P8" s="160">
        <v>0.23650000000000659</v>
      </c>
      <c r="Q8" s="144" t="s">
        <v>89</v>
      </c>
    </row>
    <row r="9" spans="1:17" s="2" customFormat="1" ht="27.95" customHeight="1">
      <c r="A9" s="150">
        <v>3</v>
      </c>
      <c r="B9" s="151" t="s">
        <v>22</v>
      </c>
      <c r="C9" s="152" t="s">
        <v>161</v>
      </c>
      <c r="D9" s="166">
        <v>41.05</v>
      </c>
      <c r="E9" s="154">
        <v>1</v>
      </c>
      <c r="F9" s="140"/>
      <c r="G9" s="215">
        <v>3</v>
      </c>
      <c r="H9" s="220" t="s">
        <v>18</v>
      </c>
      <c r="I9" s="217" t="s">
        <v>19</v>
      </c>
      <c r="J9" s="226">
        <f>(41.89+41.59+41.34+41.39+42.22+41.51+41.48+41.3+41.3+41.65+41.36+41.28+41.36+41.16+41.37+41.3+41.42+41.29+41.28+41.04+41.04+41.31+41.23+41.38+41.3+41.34+41.22+41.64+43.93+41.62+40.98+41.21+41.05+41.04+41.13+41.07+41.01+41.3+41.26+41.21+41.34+41.62+41.71+41.6+41.77+41.21+41.4+41.07+41.28+41.09+41+41.21+41.44+41.41+41.25+41.26+41.47+41.41+41.49+41.31)/60</f>
        <v>41.385666666666658</v>
      </c>
      <c r="K9" s="219">
        <v>7</v>
      </c>
      <c r="M9" s="141">
        <v>3</v>
      </c>
      <c r="N9" s="142" t="s">
        <v>21</v>
      </c>
      <c r="O9" s="143" t="s">
        <v>159</v>
      </c>
      <c r="P9" s="160">
        <v>0.2459259259259241</v>
      </c>
      <c r="Q9" s="144">
        <v>12</v>
      </c>
    </row>
    <row r="10" spans="1:17" s="2" customFormat="1" ht="27.95" customHeight="1">
      <c r="A10" s="145">
        <v>4</v>
      </c>
      <c r="B10" s="146" t="s">
        <v>27</v>
      </c>
      <c r="C10" s="147" t="s">
        <v>16</v>
      </c>
      <c r="D10" s="161">
        <v>41.07</v>
      </c>
      <c r="E10" s="149">
        <v>12</v>
      </c>
      <c r="F10" s="140"/>
      <c r="G10" s="145">
        <v>4</v>
      </c>
      <c r="H10" s="146" t="s">
        <v>27</v>
      </c>
      <c r="I10" s="147" t="s">
        <v>16</v>
      </c>
      <c r="J10" s="148">
        <f>(42.1+41.15+41.17+41.22+41.42+41.21+41.29+41.79+41.49+41.36+41.48+41.43+41.47+41.28+41.38+41.29+41.22+41.44+41.42+41.51+41.39+41.42+41.49+41.5+41.22+41.47+41.34+41.25+41.41+41.43+41.46+42.34+41.48+41.31+41.48+41.29+41.18+41.28+41.21+41.43+41.34+41.33+41.61+41.36+41.24+41.45+41.27+41.53+41.39+41.54+41.35+41.26+41.39+41.3)/54</f>
        <v>41.40481481481482</v>
      </c>
      <c r="K10" s="149" t="s">
        <v>87</v>
      </c>
      <c r="M10" s="145">
        <v>4</v>
      </c>
      <c r="N10" s="146" t="s">
        <v>27</v>
      </c>
      <c r="O10" s="147" t="s">
        <v>16</v>
      </c>
      <c r="P10" s="162">
        <v>0.25481481481482149</v>
      </c>
      <c r="Q10" s="149" t="s">
        <v>87</v>
      </c>
    </row>
    <row r="11" spans="1:17" s="2" customFormat="1" ht="27.95" customHeight="1">
      <c r="A11" s="150">
        <v>5</v>
      </c>
      <c r="B11" s="151" t="s">
        <v>22</v>
      </c>
      <c r="C11" s="152" t="s">
        <v>161</v>
      </c>
      <c r="D11" s="152">
        <v>41.09</v>
      </c>
      <c r="E11" s="154">
        <v>5</v>
      </c>
      <c r="F11" s="140"/>
      <c r="G11" s="150">
        <v>5</v>
      </c>
      <c r="H11" s="151" t="s">
        <v>22</v>
      </c>
      <c r="I11" s="152" t="s">
        <v>161</v>
      </c>
      <c r="J11" s="159">
        <f>(42.1+41.57+41.57+41.43+41.42+41.48+41.31+41.32+41.36+41.51+41.31+41.24+41.43+41.39+41.37+41.43+41.35+41.25+41.42+41.61+41.42+41.59+41.48+41.32+41.25+41.23+41.43+41.46+41.52+41.36+41.44)/31</f>
        <v>41.431290322580644</v>
      </c>
      <c r="K11" s="154">
        <v>7</v>
      </c>
      <c r="M11" s="150">
        <v>5</v>
      </c>
      <c r="N11" s="151" t="s">
        <v>22</v>
      </c>
      <c r="O11" s="152" t="s">
        <v>161</v>
      </c>
      <c r="P11" s="153">
        <v>0.27606060606061789</v>
      </c>
      <c r="Q11" s="154">
        <v>1</v>
      </c>
    </row>
    <row r="12" spans="1:17" s="2" customFormat="1" ht="27.95" customHeight="1">
      <c r="A12" s="215">
        <v>6</v>
      </c>
      <c r="B12" s="220" t="s">
        <v>18</v>
      </c>
      <c r="C12" s="217" t="s">
        <v>19</v>
      </c>
      <c r="D12" s="217">
        <v>41.12</v>
      </c>
      <c r="E12" s="219">
        <v>7</v>
      </c>
      <c r="F12" s="140"/>
      <c r="G12" s="150">
        <v>6</v>
      </c>
      <c r="H12" s="151" t="s">
        <v>22</v>
      </c>
      <c r="I12" s="152" t="s">
        <v>161</v>
      </c>
      <c r="J12" s="159">
        <f>(41.94+41.54+41.5+41.59+41.58+41.41+41.37+41.42+41.38+41.44+41.34+41.29+41.5+41.45+41.44+41.2+41.39+41.59+41.25+41.22+41.5+41.29+41.33+41.18+41.42+41.25+41.98+41.8+41.68+41.51+41.45+41.41+41.41)/33</f>
        <v>41.456060606060618</v>
      </c>
      <c r="K12" s="154">
        <v>1</v>
      </c>
      <c r="M12" s="163">
        <v>6</v>
      </c>
      <c r="N12" s="169" t="s">
        <v>28</v>
      </c>
      <c r="O12" s="164" t="s">
        <v>151</v>
      </c>
      <c r="P12" s="165">
        <v>0.28604166666666941</v>
      </c>
      <c r="Q12" s="170" t="s">
        <v>100</v>
      </c>
    </row>
    <row r="13" spans="1:17" s="2" customFormat="1" ht="27.95" customHeight="1">
      <c r="A13" s="163">
        <v>7</v>
      </c>
      <c r="B13" s="169" t="s">
        <v>29</v>
      </c>
      <c r="C13" s="164" t="s">
        <v>151</v>
      </c>
      <c r="D13" s="214">
        <v>41.13</v>
      </c>
      <c r="E13" s="170">
        <v>12</v>
      </c>
      <c r="F13" s="140"/>
      <c r="G13" s="215">
        <v>7</v>
      </c>
      <c r="H13" s="220" t="s">
        <v>18</v>
      </c>
      <c r="I13" s="217" t="s">
        <v>19</v>
      </c>
      <c r="J13" s="226">
        <f>(42.16+41.81+41.94+42.06+41.4+41.66+41.45+41.74+41.37+41.32+41.21+41.81+42.46+42.21+41.65+41.56+41.61+41.12+41.2+41.24+41.37+41.29+41.21+41.14+41.26+41.31+41.33+41.15+41.45+41.41+41.76+41.46+41.26+41.13+41.37+41.32+41.6+41.43+41.25+41.19+41.29+41.46+41.6+41.39+41.57+41.23+41.36)/47</f>
        <v>41.480212765957447</v>
      </c>
      <c r="K13" s="219">
        <v>7</v>
      </c>
      <c r="M13" s="150">
        <v>7</v>
      </c>
      <c r="N13" s="151" t="s">
        <v>23</v>
      </c>
      <c r="O13" s="152" t="s">
        <v>161</v>
      </c>
      <c r="P13" s="153">
        <v>0.29833333333333201</v>
      </c>
      <c r="Q13" s="154">
        <v>88</v>
      </c>
    </row>
    <row r="14" spans="1:17" s="2" customFormat="1" ht="27.95" customHeight="1">
      <c r="A14" s="163">
        <v>8</v>
      </c>
      <c r="B14" s="169" t="s">
        <v>29</v>
      </c>
      <c r="C14" s="164" t="s">
        <v>151</v>
      </c>
      <c r="D14" s="164">
        <v>41.15</v>
      </c>
      <c r="E14" s="170">
        <v>9</v>
      </c>
      <c r="F14" s="140"/>
      <c r="G14" s="150">
        <v>8</v>
      </c>
      <c r="H14" s="151" t="s">
        <v>22</v>
      </c>
      <c r="I14" s="152" t="s">
        <v>161</v>
      </c>
      <c r="J14" s="159">
        <f>(41.95+41.74+41.33+41.13+41.53+41.32+41.21+41.32+41.18+41.5+41.34+41.09+41.7+41.36+41.46+41.39+41.26+41.34+41.47+41.51+41.89+41.36+41.48+41.42+41.34+41.31+41.52+41.52+41.4+41.36+41.65+41.38+41.35+41.38+41.49+41.54+41.45+41.52+41.35+41.41+41.33+41.46+41.62+41.43+41.45+41.45+41.51+41.39+41.69+41.37+41.61+41.42+41.41+41.69+41.55+41.66+41.68+41.56+41.48+41.53+41.58+41.66+41.79+41.51+41.66+41.7+41.57+41.48+41.93)/69</f>
        <v>41.48434782608696</v>
      </c>
      <c r="K14" s="154">
        <v>5</v>
      </c>
      <c r="M14" s="145">
        <v>8</v>
      </c>
      <c r="N14" s="146" t="s">
        <v>27</v>
      </c>
      <c r="O14" s="147" t="s">
        <v>16</v>
      </c>
      <c r="P14" s="162">
        <v>0.29848484848483992</v>
      </c>
      <c r="Q14" s="149">
        <v>12</v>
      </c>
    </row>
    <row r="15" spans="1:17" s="2" customFormat="1" ht="27.95" customHeight="1">
      <c r="A15" s="145">
        <v>9</v>
      </c>
      <c r="B15" s="146" t="s">
        <v>27</v>
      </c>
      <c r="C15" s="147" t="s">
        <v>16</v>
      </c>
      <c r="D15" s="147">
        <v>41.15</v>
      </c>
      <c r="E15" s="149" t="s">
        <v>87</v>
      </c>
      <c r="F15" s="140"/>
      <c r="G15" s="141">
        <v>9</v>
      </c>
      <c r="H15" s="142" t="s">
        <v>21</v>
      </c>
      <c r="I15" s="143" t="s">
        <v>159</v>
      </c>
      <c r="J15" s="167">
        <f>(42.26+41.65+41.47+41.44+41.35+41.38+41.54+41.94+41.46+41.27+41.63+41.36+41.32+41.46+41.48+41.25+41.37+41.26+41.35+41.36+41.94+42.05+41.47+41.44+41.29+41.27+41.33)/27</f>
        <v>41.495925925925924</v>
      </c>
      <c r="K15" s="144">
        <v>12</v>
      </c>
      <c r="M15" s="155">
        <v>9</v>
      </c>
      <c r="N15" s="156" t="s">
        <v>122</v>
      </c>
      <c r="O15" s="157" t="s">
        <v>117</v>
      </c>
      <c r="P15" s="168">
        <v>0.31735294117645907</v>
      </c>
      <c r="Q15" s="158">
        <v>9</v>
      </c>
    </row>
    <row r="16" spans="1:17" s="2" customFormat="1" ht="27.95" customHeight="1">
      <c r="A16" s="150">
        <v>10</v>
      </c>
      <c r="B16" s="151" t="s">
        <v>22</v>
      </c>
      <c r="C16" s="152" t="s">
        <v>161</v>
      </c>
      <c r="D16" s="152">
        <v>41.18</v>
      </c>
      <c r="E16" s="154">
        <v>1</v>
      </c>
      <c r="F16" s="140"/>
      <c r="G16" s="163">
        <v>10</v>
      </c>
      <c r="H16" s="169" t="s">
        <v>29</v>
      </c>
      <c r="I16" s="164" t="s">
        <v>151</v>
      </c>
      <c r="J16" s="171">
        <f>(42.26+41.87+41.22+41.38+41.4+41.46+42.05+42.37+41.46+41.77+41.48+41.21+41.15+41.21+41.28+41.39+41.56+41.45+41.42+41.15+41.36+41.32+41.49+41.53+41.57+41.48+41.34+41.69+41.29+41.54+41.4+41.46+41.23+41.36+41.62+41.79+41.68+41.22+41.83+41.67+41.52+41.36+41.72+41.56+41.5+41.31+41.44+41.33+41.34+41.36+41.37+41.21+41.92+41.52+41.66+41.63+41.49+41.69+41.63+41.49+41.56+41.42+41.46+41.47+41.45+41.42+41.35+41.43+41.41)/69</f>
        <v>41.498985507246353</v>
      </c>
      <c r="K16" s="170">
        <v>9</v>
      </c>
      <c r="M16" s="163">
        <v>10</v>
      </c>
      <c r="N16" s="169" t="s">
        <v>29</v>
      </c>
      <c r="O16" s="164" t="s">
        <v>151</v>
      </c>
      <c r="P16" s="165">
        <v>0.31857142857142406</v>
      </c>
      <c r="Q16" s="170">
        <v>13</v>
      </c>
    </row>
    <row r="17" spans="1:17" s="2" customFormat="1" ht="27.95" customHeight="1">
      <c r="A17" s="163">
        <v>11</v>
      </c>
      <c r="B17" s="169" t="s">
        <v>29</v>
      </c>
      <c r="C17" s="164" t="s">
        <v>151</v>
      </c>
      <c r="D17" s="171">
        <v>41.2</v>
      </c>
      <c r="E17" s="170">
        <v>13</v>
      </c>
      <c r="F17" s="140"/>
      <c r="G17" s="163">
        <v>11</v>
      </c>
      <c r="H17" s="169" t="s">
        <v>29</v>
      </c>
      <c r="I17" s="164" t="s">
        <v>151</v>
      </c>
      <c r="J17" s="171">
        <f>(42.38+41.66+41.76+41.31+41.35+41.68+41.7+41.42+41.63+41.4+41.48+41.28+41.34+41.22+41.2+41.43+41.38+41.55+41.84+41.53+41.35)/21</f>
        <v>41.518571428571427</v>
      </c>
      <c r="K17" s="170">
        <v>13</v>
      </c>
      <c r="M17" s="141">
        <v>11</v>
      </c>
      <c r="N17" s="142" t="s">
        <v>32</v>
      </c>
      <c r="O17" s="143" t="s">
        <v>159</v>
      </c>
      <c r="P17" s="160">
        <v>0.34529411764706452</v>
      </c>
      <c r="Q17" s="144">
        <v>88</v>
      </c>
    </row>
    <row r="18" spans="1:17" s="2" customFormat="1" ht="27.95" customHeight="1">
      <c r="A18" s="150">
        <v>12</v>
      </c>
      <c r="B18" s="151" t="s">
        <v>22</v>
      </c>
      <c r="C18" s="152" t="s">
        <v>161</v>
      </c>
      <c r="D18" s="152">
        <v>41.23</v>
      </c>
      <c r="E18" s="154">
        <v>7</v>
      </c>
      <c r="F18" s="140"/>
      <c r="G18" s="141">
        <v>12</v>
      </c>
      <c r="H18" s="142" t="s">
        <v>31</v>
      </c>
      <c r="I18" s="143" t="s">
        <v>159</v>
      </c>
      <c r="J18" s="167">
        <f>(42.53+42.06+41.89+41.64+41.71+41.54+42.1+41.71+41.89+41.74+41.64+41.58+41.77+41.58+41.37+41.41+41.48+41.5+41.81+41.41+41.38+41.52+41.69+41.52+41.47+41.5+41.46+41.57+41.37+41.44+41.23+41.39+41.57+41.46+41.32+41.39+41.5)/37</f>
        <v>41.598378378378378</v>
      </c>
      <c r="K18" s="144">
        <v>11</v>
      </c>
      <c r="M18" s="205">
        <v>12</v>
      </c>
      <c r="N18" s="206" t="s">
        <v>24</v>
      </c>
      <c r="O18" s="207" t="s">
        <v>125</v>
      </c>
      <c r="P18" s="235">
        <v>0.34761904761904816</v>
      </c>
      <c r="Q18" s="208">
        <v>5</v>
      </c>
    </row>
    <row r="19" spans="1:17" s="2" customFormat="1" ht="27.95" customHeight="1">
      <c r="A19" s="141">
        <v>13</v>
      </c>
      <c r="B19" s="142" t="s">
        <v>31</v>
      </c>
      <c r="C19" s="143" t="s">
        <v>159</v>
      </c>
      <c r="D19" s="221">
        <v>41.23</v>
      </c>
      <c r="E19" s="144">
        <v>11</v>
      </c>
      <c r="F19" s="140"/>
      <c r="G19" s="141">
        <v>13</v>
      </c>
      <c r="H19" s="142" t="s">
        <v>21</v>
      </c>
      <c r="I19" s="143" t="s">
        <v>159</v>
      </c>
      <c r="J19" s="167">
        <f>(41.91+41.37+41.35+41.46+42.02+41.42+41.51+41.59+42.15+41.42+41.41+41.49+41.49+41.67+41.74+41.23+41.46+41.53+41.33+41.5+41.52+41.68+41.42+41.3+41.35+41.3+41.57+41.48+41.47+41.35+41.89+41.46+41.83+41.57+41.45+41.51+41.52+41.51+41.37+41.3+41.34+41.42+41.58+41.34+42.15+41.73+41.81+41.49+41.61+41.56+41.66+41.63+41.47+41.51+41.62+41.55+41.57+41.57+41.7+42.04+44.11+42.24)/62</f>
        <v>41.606451612903214</v>
      </c>
      <c r="K19" s="144">
        <v>9</v>
      </c>
      <c r="M19" s="163">
        <v>13</v>
      </c>
      <c r="N19" s="169" t="s">
        <v>29</v>
      </c>
      <c r="O19" s="164" t="s">
        <v>151</v>
      </c>
      <c r="P19" s="165">
        <v>0.34898550724635413</v>
      </c>
      <c r="Q19" s="170">
        <v>9</v>
      </c>
    </row>
    <row r="20" spans="1:17" s="2" customFormat="1" ht="27.95" customHeight="1">
      <c r="A20" s="141">
        <v>14</v>
      </c>
      <c r="B20" s="142" t="s">
        <v>21</v>
      </c>
      <c r="C20" s="143" t="s">
        <v>159</v>
      </c>
      <c r="D20" s="221">
        <v>41.23</v>
      </c>
      <c r="E20" s="144">
        <v>9</v>
      </c>
      <c r="F20" s="140"/>
      <c r="G20" s="141">
        <v>14</v>
      </c>
      <c r="H20" s="142" t="s">
        <v>31</v>
      </c>
      <c r="I20" s="143" t="s">
        <v>159</v>
      </c>
      <c r="J20" s="167">
        <f>(42.12+41.7+41.51+41.51+41.83+41.46+41.72+41.8+41.43+41.44+41.48+41.71+41.54+41.67+41.43+41.58+41.64+41.71+41.56+41.5+41.45+41.42+41.64+41.4+41.98+41.69+41.49+41.52+41.63+41.47+41.47+41.54+41.7+41.71+41.48+41.63+41.59+42.26+41.67+41.65+41.67+41.57+41.67+41.66+41.73+41.52+41.81+41.81+41.56+41.63+41.84+42.06+41.53+41.89+41.5+41.44+42.02+41.48+41.5+41.57)/60</f>
        <v>41.636500000000005</v>
      </c>
      <c r="K20" s="144" t="s">
        <v>89</v>
      </c>
      <c r="M20" s="141">
        <v>14</v>
      </c>
      <c r="N20" s="142" t="s">
        <v>21</v>
      </c>
      <c r="O20" s="143" t="s">
        <v>159</v>
      </c>
      <c r="P20" s="160">
        <v>0.34947368421052261</v>
      </c>
      <c r="Q20" s="144">
        <v>88</v>
      </c>
    </row>
    <row r="21" spans="1:17" s="2" customFormat="1" ht="27.95" customHeight="1" thickBot="1">
      <c r="A21" s="172">
        <v>15</v>
      </c>
      <c r="B21" s="173" t="s">
        <v>21</v>
      </c>
      <c r="C21" s="174" t="s">
        <v>159</v>
      </c>
      <c r="D21" s="174">
        <v>41.25</v>
      </c>
      <c r="E21" s="175">
        <v>12</v>
      </c>
      <c r="F21" s="176"/>
      <c r="G21" s="180">
        <v>15</v>
      </c>
      <c r="H21" s="181" t="s">
        <v>28</v>
      </c>
      <c r="I21" s="182" t="s">
        <v>151</v>
      </c>
      <c r="J21" s="224">
        <f>(42.68+42+41.87+41.69+41.63+41.56+41.69+41.64+41.52+41.8+41.54+41.7+41.68+41.52+41.5+41.46+41.56+41.75+41.45+41.51+41.71+41.79+41.81+41.73+41.59+41.63+41.6+41.64+41.55+41.7+41.49+42.45+41.66+41.72+41.51+41.48+41.49+41.47+41.36+41.49+41.4+41.47+41.7+41.82+41.53+41.46+41.49+41.52)/48</f>
        <v>41.646041666666669</v>
      </c>
      <c r="K21" s="183" t="s">
        <v>100</v>
      </c>
      <c r="M21" s="236">
        <v>15</v>
      </c>
      <c r="N21" s="220" t="s">
        <v>18</v>
      </c>
      <c r="O21" s="217" t="s">
        <v>19</v>
      </c>
      <c r="P21" s="225">
        <v>0.36021276595744922</v>
      </c>
      <c r="Q21" s="219">
        <v>7</v>
      </c>
    </row>
    <row r="22" spans="1:17" ht="27.95" customHeight="1" thickBot="1">
      <c r="A22" s="184"/>
      <c r="B22" s="185"/>
      <c r="C22" s="186"/>
      <c r="D22" s="184"/>
      <c r="E22" s="184"/>
      <c r="F22" s="187"/>
      <c r="G22" s="188"/>
      <c r="H22" s="187"/>
      <c r="I22" s="184"/>
      <c r="M22" s="237"/>
      <c r="N22" s="238" t="s">
        <v>24</v>
      </c>
      <c r="O22" s="239" t="s">
        <v>125</v>
      </c>
      <c r="P22" s="240">
        <v>0.36044117647059437</v>
      </c>
      <c r="Q22" s="241">
        <v>2</v>
      </c>
    </row>
    <row r="23" spans="1:17" s="196" customFormat="1" ht="21.75" customHeight="1">
      <c r="A23" s="189">
        <v>40.79</v>
      </c>
      <c r="B23" s="190" t="s">
        <v>168</v>
      </c>
      <c r="C23" s="191"/>
      <c r="D23" s="192"/>
      <c r="E23" s="193"/>
      <c r="F23" s="194"/>
      <c r="G23" s="195">
        <v>40.869999999999997</v>
      </c>
      <c r="H23" s="190" t="s">
        <v>169</v>
      </c>
      <c r="I23" s="191"/>
      <c r="J23" s="192"/>
      <c r="K23" s="193"/>
      <c r="M23" s="229" t="s">
        <v>170</v>
      </c>
      <c r="N23" s="230"/>
      <c r="O23" s="231"/>
      <c r="P23" s="232"/>
      <c r="Q23" s="233"/>
    </row>
    <row r="24" spans="1:17" ht="8.25" customHeight="1"/>
    <row r="25" spans="1:17" ht="19.5">
      <c r="A25" s="197" t="s">
        <v>178</v>
      </c>
      <c r="G25" s="198"/>
    </row>
    <row r="26" spans="1:17" ht="19.5">
      <c r="A26" s="197" t="s">
        <v>171</v>
      </c>
      <c r="G26" s="198"/>
      <c r="M26" s="198"/>
    </row>
    <row r="27" spans="1:17" ht="19.5">
      <c r="A27" s="199" t="s">
        <v>172</v>
      </c>
      <c r="G27" s="198"/>
      <c r="M27" s="198"/>
    </row>
    <row r="28" spans="1:17" ht="8.25" customHeight="1">
      <c r="A28" s="197"/>
      <c r="G28" s="198"/>
      <c r="M28" s="198"/>
    </row>
    <row r="29" spans="1:17" ht="19.5">
      <c r="A29" s="200" t="s">
        <v>173</v>
      </c>
      <c r="M29" s="198"/>
    </row>
    <row r="30" spans="1:17" ht="18.75">
      <c r="A30" s="197" t="s">
        <v>180</v>
      </c>
    </row>
    <row r="31" spans="1:17" ht="16.5" customHeight="1">
      <c r="A31" s="200" t="s">
        <v>174</v>
      </c>
    </row>
    <row r="32" spans="1:17" ht="18.75">
      <c r="A32" s="197" t="s">
        <v>175</v>
      </c>
    </row>
    <row r="33" spans="1:1" ht="18.75">
      <c r="A33" s="197" t="s">
        <v>176</v>
      </c>
    </row>
    <row r="34" spans="1:1" ht="5.25" customHeight="1"/>
    <row r="35" spans="1:1" ht="18.75">
      <c r="A35" s="197" t="s">
        <v>177</v>
      </c>
    </row>
    <row r="36" spans="1:1" ht="18.75">
      <c r="A36" s="197" t="s">
        <v>179</v>
      </c>
    </row>
    <row r="37" spans="1:1" ht="18.75">
      <c r="A37" s="197" t="s">
        <v>183</v>
      </c>
    </row>
    <row r="38" spans="1:1" ht="18.75">
      <c r="A38" s="197" t="s">
        <v>181</v>
      </c>
    </row>
    <row r="39" spans="1:1" ht="6.75" customHeight="1">
      <c r="A39" s="197"/>
    </row>
    <row r="40" spans="1:1" ht="18.75">
      <c r="A40" s="197" t="s">
        <v>182</v>
      </c>
    </row>
    <row r="41" spans="1:1" ht="7.5" customHeight="1"/>
    <row r="44" spans="1:1" ht="18.75">
      <c r="A44" s="197"/>
    </row>
    <row r="45" spans="1:1" ht="18.75">
      <c r="A45" s="197"/>
    </row>
    <row r="46" spans="1:1" ht="18.75">
      <c r="A46" s="197"/>
    </row>
    <row r="47" spans="1:1" ht="18.75">
      <c r="A47" s="197"/>
    </row>
    <row r="48" spans="1:1" ht="18.75">
      <c r="A48" s="197"/>
    </row>
    <row r="49" spans="1:1" ht="18.75">
      <c r="A49" s="197"/>
    </row>
    <row r="50" spans="1:1" ht="18.75">
      <c r="A50" s="197"/>
    </row>
  </sheetData>
  <mergeCells count="19">
    <mergeCell ref="A1:Q1"/>
    <mergeCell ref="A3:E3"/>
    <mergeCell ref="G3:K3"/>
    <mergeCell ref="M3:Q3"/>
    <mergeCell ref="A5:A6"/>
    <mergeCell ref="B5:B6"/>
    <mergeCell ref="C5:C6"/>
    <mergeCell ref="D5:D6"/>
    <mergeCell ref="E5:E6"/>
    <mergeCell ref="G5:G6"/>
    <mergeCell ref="O5:O6"/>
    <mergeCell ref="P5:P6"/>
    <mergeCell ref="Q5:Q6"/>
    <mergeCell ref="H5:H6"/>
    <mergeCell ref="I5:I6"/>
    <mergeCell ref="J5:J6"/>
    <mergeCell ref="K5:K6"/>
    <mergeCell ref="M5:M6"/>
    <mergeCell ref="N5:N6"/>
  </mergeCells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N27"/>
  <sheetViews>
    <sheetView zoomScale="75" zoomScaleNormal="75" workbookViewId="0">
      <selection activeCell="G11" sqref="G11:G12"/>
    </sheetView>
  </sheetViews>
  <sheetFormatPr defaultRowHeight="15"/>
  <cols>
    <col min="1" max="1" width="6" customWidth="1"/>
    <col min="2" max="2" width="21.28515625" customWidth="1"/>
    <col min="3" max="3" width="14.5703125" style="44" customWidth="1"/>
    <col min="4" max="4" width="12.5703125" style="242" customWidth="1"/>
    <col min="5" max="5" width="11" style="44" customWidth="1"/>
    <col min="6" max="6" width="2.85546875" customWidth="1"/>
    <col min="7" max="7" width="6" customWidth="1"/>
    <col min="8" max="8" width="21.28515625" customWidth="1"/>
    <col min="9" max="9" width="14" style="44" customWidth="1"/>
    <col min="10" max="10" width="12.42578125" style="44" customWidth="1"/>
    <col min="11" max="11" width="11.42578125" style="44" customWidth="1"/>
    <col min="12" max="12" width="2.28515625" customWidth="1"/>
  </cols>
  <sheetData>
    <row r="1" spans="1:14" ht="26.25">
      <c r="A1" s="299" t="s">
        <v>91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</row>
    <row r="2" spans="1:14" ht="4.5" customHeight="1">
      <c r="A2" s="44"/>
      <c r="G2" s="44"/>
    </row>
    <row r="3" spans="1:14" ht="23.25">
      <c r="A3" s="355" t="s">
        <v>186</v>
      </c>
      <c r="B3" s="355"/>
      <c r="C3" s="355"/>
      <c r="D3" s="355"/>
      <c r="E3" s="355"/>
      <c r="F3" s="355"/>
      <c r="G3" s="355"/>
      <c r="H3" s="355"/>
      <c r="I3" s="355"/>
      <c r="J3" s="355"/>
      <c r="K3" s="355"/>
    </row>
    <row r="4" spans="1:14" ht="7.5" customHeight="1" thickBot="1"/>
    <row r="5" spans="1:14" s="139" customFormat="1" ht="20.25" customHeight="1">
      <c r="A5" s="365" t="s">
        <v>157</v>
      </c>
      <c r="B5" s="347" t="s">
        <v>2</v>
      </c>
      <c r="C5" s="341" t="s">
        <v>3</v>
      </c>
      <c r="D5" s="363" t="s">
        <v>145</v>
      </c>
      <c r="E5" s="345" t="s">
        <v>184</v>
      </c>
      <c r="F5" s="367"/>
      <c r="G5" s="365" t="s">
        <v>157</v>
      </c>
      <c r="H5" s="347" t="s">
        <v>2</v>
      </c>
      <c r="I5" s="341" t="s">
        <v>3</v>
      </c>
      <c r="J5" s="363" t="s">
        <v>145</v>
      </c>
      <c r="K5" s="345" t="s">
        <v>184</v>
      </c>
    </row>
    <row r="6" spans="1:14" s="139" customFormat="1" ht="18.75" customHeight="1" thickBot="1">
      <c r="A6" s="366"/>
      <c r="B6" s="348"/>
      <c r="C6" s="349"/>
      <c r="D6" s="364"/>
      <c r="E6" s="351"/>
      <c r="F6" s="368"/>
      <c r="G6" s="366"/>
      <c r="H6" s="348"/>
      <c r="I6" s="349"/>
      <c r="J6" s="364"/>
      <c r="K6" s="351"/>
    </row>
    <row r="7" spans="1:14" s="2" customFormat="1" ht="21.95" customHeight="1">
      <c r="A7" s="357">
        <v>1</v>
      </c>
      <c r="B7" s="151" t="s">
        <v>28</v>
      </c>
      <c r="C7" s="152" t="s">
        <v>151</v>
      </c>
      <c r="D7" s="152">
        <v>40.79</v>
      </c>
      <c r="E7" s="359">
        <f>AVERAGE(D7:D8)</f>
        <v>40.92</v>
      </c>
      <c r="F7" s="368"/>
      <c r="G7" s="357">
        <v>11</v>
      </c>
      <c r="H7" s="201" t="s">
        <v>31</v>
      </c>
      <c r="I7" s="202" t="s">
        <v>159</v>
      </c>
      <c r="J7" s="202">
        <v>41.23</v>
      </c>
      <c r="K7" s="359">
        <f>AVERAGE(J7:J8)</f>
        <v>41.314999999999998</v>
      </c>
      <c r="M7" s="243" t="s">
        <v>188</v>
      </c>
    </row>
    <row r="8" spans="1:14" s="2" customFormat="1" ht="21.95" customHeight="1" thickBot="1">
      <c r="A8" s="361"/>
      <c r="B8" s="227" t="s">
        <v>22</v>
      </c>
      <c r="C8" s="228" t="s">
        <v>161</v>
      </c>
      <c r="D8" s="228">
        <v>41.05</v>
      </c>
      <c r="E8" s="362"/>
      <c r="F8" s="368"/>
      <c r="G8" s="358"/>
      <c r="H8" s="177" t="s">
        <v>31</v>
      </c>
      <c r="I8" s="178" t="s">
        <v>159</v>
      </c>
      <c r="J8" s="179">
        <v>41.4</v>
      </c>
      <c r="K8" s="360"/>
      <c r="M8" s="243" t="s">
        <v>189</v>
      </c>
    </row>
    <row r="9" spans="1:14" s="2" customFormat="1" ht="21.95" customHeight="1">
      <c r="A9" s="357">
        <v>7</v>
      </c>
      <c r="B9" s="201" t="s">
        <v>18</v>
      </c>
      <c r="C9" s="202" t="s">
        <v>19</v>
      </c>
      <c r="D9" s="202">
        <v>40.98</v>
      </c>
      <c r="E9" s="359">
        <f>AVERAGE(D9:D10)</f>
        <v>41.05</v>
      </c>
      <c r="F9" s="368"/>
      <c r="G9" s="361">
        <v>3</v>
      </c>
      <c r="H9" s="246" t="s">
        <v>27</v>
      </c>
      <c r="I9" s="247" t="s">
        <v>16</v>
      </c>
      <c r="J9" s="247">
        <v>41.34</v>
      </c>
      <c r="K9" s="359">
        <f>AVERAGE(J9:J10)</f>
        <v>41.35</v>
      </c>
      <c r="M9" s="243" t="s">
        <v>190</v>
      </c>
    </row>
    <row r="10" spans="1:14" s="2" customFormat="1" ht="21.95" customHeight="1" thickBot="1">
      <c r="A10" s="358"/>
      <c r="B10" s="177" t="s">
        <v>18</v>
      </c>
      <c r="C10" s="178" t="s">
        <v>19</v>
      </c>
      <c r="D10" s="178">
        <v>41.12</v>
      </c>
      <c r="E10" s="360"/>
      <c r="F10" s="368"/>
      <c r="G10" s="358"/>
      <c r="H10" s="177" t="s">
        <v>28</v>
      </c>
      <c r="I10" s="178" t="s">
        <v>151</v>
      </c>
      <c r="J10" s="178">
        <v>41.36</v>
      </c>
      <c r="K10" s="360"/>
      <c r="M10" s="252" t="s">
        <v>191</v>
      </c>
    </row>
    <row r="11" spans="1:14" s="2" customFormat="1" ht="21.95" customHeight="1">
      <c r="A11" s="361">
        <v>12</v>
      </c>
      <c r="B11" s="246" t="s">
        <v>27</v>
      </c>
      <c r="C11" s="247" t="s">
        <v>16</v>
      </c>
      <c r="D11" s="247">
        <v>41.07</v>
      </c>
      <c r="E11" s="359">
        <f>AVERAGE(D11:D12)</f>
        <v>41.1</v>
      </c>
      <c r="F11" s="368"/>
      <c r="G11" s="357">
        <v>2</v>
      </c>
      <c r="H11" s="201" t="s">
        <v>131</v>
      </c>
      <c r="I11" s="202" t="s">
        <v>19</v>
      </c>
      <c r="J11" s="202">
        <v>41.34</v>
      </c>
      <c r="K11" s="359">
        <f>AVERAGE(J11:J12)</f>
        <v>41.400000000000006</v>
      </c>
      <c r="M11" s="252" t="s">
        <v>192</v>
      </c>
    </row>
    <row r="12" spans="1:14" s="2" customFormat="1" ht="21.95" customHeight="1" thickBot="1">
      <c r="A12" s="358"/>
      <c r="B12" s="177" t="s">
        <v>29</v>
      </c>
      <c r="C12" s="178" t="s">
        <v>151</v>
      </c>
      <c r="D12" s="178">
        <v>41.13</v>
      </c>
      <c r="E12" s="360"/>
      <c r="F12" s="368"/>
      <c r="G12" s="358"/>
      <c r="H12" s="177" t="s">
        <v>118</v>
      </c>
      <c r="I12" s="178" t="s">
        <v>117</v>
      </c>
      <c r="J12" s="178">
        <v>41.46</v>
      </c>
      <c r="K12" s="360"/>
      <c r="M12" s="243" t="s">
        <v>193</v>
      </c>
    </row>
    <row r="13" spans="1:14" s="2" customFormat="1" ht="21.95" customHeight="1">
      <c r="A13" s="361">
        <v>5</v>
      </c>
      <c r="B13" s="151" t="s">
        <v>22</v>
      </c>
      <c r="C13" s="152" t="s">
        <v>161</v>
      </c>
      <c r="D13" s="152">
        <v>41.09</v>
      </c>
      <c r="E13" s="362">
        <f>AVERAGE(D13:D14)</f>
        <v>41.120000000000005</v>
      </c>
      <c r="F13" s="368"/>
      <c r="G13" s="357">
        <v>15</v>
      </c>
      <c r="H13" s="151" t="s">
        <v>26</v>
      </c>
      <c r="I13" s="152" t="s">
        <v>16</v>
      </c>
      <c r="J13" s="152">
        <v>41.35</v>
      </c>
      <c r="K13" s="359">
        <f>AVERAGE(J13:J14)</f>
        <v>41.484999999999999</v>
      </c>
      <c r="M13" s="243" t="s">
        <v>194</v>
      </c>
      <c r="N13"/>
    </row>
    <row r="14" spans="1:14" s="2" customFormat="1" ht="21.95" customHeight="1" thickBot="1">
      <c r="A14" s="361"/>
      <c r="B14" s="227" t="s">
        <v>27</v>
      </c>
      <c r="C14" s="228" t="s">
        <v>16</v>
      </c>
      <c r="D14" s="228">
        <v>41.15</v>
      </c>
      <c r="E14" s="362"/>
      <c r="F14" s="368"/>
      <c r="G14" s="358"/>
      <c r="H14" s="249" t="s">
        <v>131</v>
      </c>
      <c r="I14" s="250" t="s">
        <v>19</v>
      </c>
      <c r="J14" s="250">
        <v>41.62</v>
      </c>
      <c r="K14" s="360"/>
      <c r="M14" s="243"/>
      <c r="N14"/>
    </row>
    <row r="15" spans="1:14" s="2" customFormat="1" ht="21.95" customHeight="1">
      <c r="A15" s="357">
        <v>9</v>
      </c>
      <c r="B15" s="201" t="s">
        <v>29</v>
      </c>
      <c r="C15" s="202" t="s">
        <v>151</v>
      </c>
      <c r="D15" s="202">
        <v>41.15</v>
      </c>
      <c r="E15" s="359">
        <f>AVERAGE(D15:D16)</f>
        <v>41.19</v>
      </c>
      <c r="F15" s="368"/>
      <c r="G15" s="357">
        <v>6</v>
      </c>
      <c r="H15" s="201" t="s">
        <v>131</v>
      </c>
      <c r="I15" s="202" t="s">
        <v>19</v>
      </c>
      <c r="J15" s="202">
        <v>41.57</v>
      </c>
      <c r="K15" s="359">
        <f>AVERAGE(J15:J16)</f>
        <v>41.59</v>
      </c>
      <c r="M15" s="243"/>
      <c r="N15"/>
    </row>
    <row r="16" spans="1:14" s="2" customFormat="1" ht="21.95" customHeight="1" thickBot="1">
      <c r="A16" s="358"/>
      <c r="B16" s="177" t="s">
        <v>21</v>
      </c>
      <c r="C16" s="178" t="s">
        <v>159</v>
      </c>
      <c r="D16" s="178">
        <v>41.23</v>
      </c>
      <c r="E16" s="360"/>
      <c r="F16" s="368"/>
      <c r="G16" s="358"/>
      <c r="H16" s="177" t="s">
        <v>26</v>
      </c>
      <c r="I16" s="178" t="s">
        <v>16</v>
      </c>
      <c r="J16" s="178">
        <v>41.61</v>
      </c>
      <c r="K16" s="360"/>
      <c r="M16" s="245"/>
      <c r="N16"/>
    </row>
    <row r="17" spans="1:14" s="2" customFormat="1" ht="21.95" customHeight="1">
      <c r="A17" s="357">
        <v>88</v>
      </c>
      <c r="B17" s="201" t="s">
        <v>18</v>
      </c>
      <c r="C17" s="202" t="s">
        <v>19</v>
      </c>
      <c r="D17" s="202">
        <v>41.26</v>
      </c>
      <c r="E17" s="359">
        <f>AVERAGE(D17:D18)</f>
        <v>41.3</v>
      </c>
      <c r="F17" s="369"/>
      <c r="G17" s="357">
        <v>10</v>
      </c>
      <c r="H17" s="201" t="s">
        <v>185</v>
      </c>
      <c r="I17" s="202" t="s">
        <v>117</v>
      </c>
      <c r="J17" s="222">
        <v>41.58</v>
      </c>
      <c r="K17" s="359">
        <f>AVERAGE(J17:J18)</f>
        <v>41.65</v>
      </c>
      <c r="M17" s="243"/>
      <c r="N17"/>
    </row>
    <row r="18" spans="1:14" s="2" customFormat="1" ht="21.95" customHeight="1" thickBot="1">
      <c r="A18" s="358"/>
      <c r="B18" s="177" t="s">
        <v>21</v>
      </c>
      <c r="C18" s="178" t="s">
        <v>159</v>
      </c>
      <c r="D18" s="178">
        <v>41.34</v>
      </c>
      <c r="E18" s="360"/>
      <c r="F18" s="369"/>
      <c r="G18" s="358"/>
      <c r="H18" s="244" t="s">
        <v>118</v>
      </c>
      <c r="I18" s="178" t="s">
        <v>117</v>
      </c>
      <c r="J18" s="178">
        <v>41.72</v>
      </c>
      <c r="K18" s="360"/>
      <c r="M18" s="243"/>
      <c r="N18"/>
    </row>
    <row r="19" spans="1:14" s="2" customFormat="1" ht="21.95" customHeight="1">
      <c r="A19" s="357">
        <v>13</v>
      </c>
      <c r="B19" s="248" t="s">
        <v>29</v>
      </c>
      <c r="C19" s="202" t="s">
        <v>151</v>
      </c>
      <c r="D19" s="202">
        <v>41.2</v>
      </c>
      <c r="E19" s="359">
        <f>AVERAGE(D19:D20)</f>
        <v>41.3</v>
      </c>
      <c r="F19" s="251"/>
      <c r="M19" s="243"/>
      <c r="N19"/>
    </row>
    <row r="20" spans="1:14" s="2" customFormat="1" ht="21.95" customHeight="1" thickBot="1">
      <c r="A20" s="358"/>
      <c r="B20" s="177" t="s">
        <v>26</v>
      </c>
      <c r="C20" s="178" t="s">
        <v>16</v>
      </c>
      <c r="D20" s="178">
        <v>41.4</v>
      </c>
      <c r="E20" s="360"/>
      <c r="F20"/>
      <c r="G20" t="s">
        <v>187</v>
      </c>
      <c r="M20" s="243"/>
      <c r="N20"/>
    </row>
    <row r="21" spans="1:14" ht="9" customHeight="1"/>
    <row r="26" spans="1:14" ht="10.5" customHeight="1"/>
    <row r="27" spans="1:14" ht="16.5" customHeight="1"/>
  </sheetData>
  <mergeCells count="39">
    <mergeCell ref="K17:K18"/>
    <mergeCell ref="A1:K1"/>
    <mergeCell ref="A3:K3"/>
    <mergeCell ref="A5:A6"/>
    <mergeCell ref="B5:B6"/>
    <mergeCell ref="C5:C6"/>
    <mergeCell ref="D5:D6"/>
    <mergeCell ref="E5:E6"/>
    <mergeCell ref="F5:F18"/>
    <mergeCell ref="G5:G6"/>
    <mergeCell ref="H5:H6"/>
    <mergeCell ref="I5:I6"/>
    <mergeCell ref="J5:J6"/>
    <mergeCell ref="K5:K6"/>
    <mergeCell ref="A7:A8"/>
    <mergeCell ref="E7:E8"/>
    <mergeCell ref="G7:G8"/>
    <mergeCell ref="K7:K8"/>
    <mergeCell ref="G9:G10"/>
    <mergeCell ref="K9:K10"/>
    <mergeCell ref="A11:A12"/>
    <mergeCell ref="E11:E12"/>
    <mergeCell ref="A19:A20"/>
    <mergeCell ref="E19:E20"/>
    <mergeCell ref="A17:A18"/>
    <mergeCell ref="E17:E18"/>
    <mergeCell ref="G11:G12"/>
    <mergeCell ref="G17:G18"/>
    <mergeCell ref="A9:A10"/>
    <mergeCell ref="E9:E10"/>
    <mergeCell ref="G13:G14"/>
    <mergeCell ref="K13:K14"/>
    <mergeCell ref="A15:A16"/>
    <mergeCell ref="E15:E16"/>
    <mergeCell ref="K15:K16"/>
    <mergeCell ref="G15:G16"/>
    <mergeCell ref="A13:A14"/>
    <mergeCell ref="E13:E14"/>
    <mergeCell ref="K11:K12"/>
  </mergeCells>
  <pageMargins left="0.70866141732283472" right="0.51181102362204722" top="0.35433070866141736" bottom="0.35433070866141736" header="0.31496062992125984" footer="0.31496062992125984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W63"/>
  <sheetViews>
    <sheetView zoomScale="85" zoomScaleNormal="85" workbookViewId="0">
      <selection activeCell="A47" sqref="A47"/>
    </sheetView>
  </sheetViews>
  <sheetFormatPr defaultRowHeight="15.75"/>
  <cols>
    <col min="1" max="2" width="9.140625" style="253"/>
    <col min="3" max="3" width="4.42578125" customWidth="1"/>
    <col min="5" max="5" width="9" customWidth="1"/>
    <col min="6" max="6" width="9" style="44" customWidth="1"/>
    <col min="8" max="8" width="9.140625" customWidth="1"/>
    <col min="11" max="11" width="9.5703125" customWidth="1"/>
    <col min="14" max="14" width="7.85546875" customWidth="1"/>
    <col min="15" max="15" width="19.140625" customWidth="1"/>
    <col min="17" max="17" width="9.140625" customWidth="1"/>
    <col min="19" max="19" width="3.85546875" customWidth="1"/>
    <col min="20" max="20" width="6" customWidth="1"/>
    <col min="21" max="21" width="15.7109375" customWidth="1"/>
    <col min="22" max="22" width="10.7109375" style="44" customWidth="1"/>
    <col min="23" max="23" width="9.85546875" style="44" customWidth="1"/>
  </cols>
  <sheetData>
    <row r="1" spans="1:18" ht="18" customHeight="1">
      <c r="A1" s="332" t="s">
        <v>203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</row>
    <row r="2" spans="1:18" ht="3.75" customHeight="1" thickBot="1"/>
    <row r="3" spans="1:18" ht="15.75" customHeight="1" thickBot="1">
      <c r="A3" s="394" t="s">
        <v>195</v>
      </c>
      <c r="B3" s="396"/>
      <c r="D3" s="411" t="s">
        <v>15</v>
      </c>
      <c r="E3" s="412"/>
      <c r="F3" s="413"/>
      <c r="G3" s="394" t="s">
        <v>151</v>
      </c>
      <c r="H3" s="395"/>
      <c r="I3" s="396"/>
      <c r="J3" s="372" t="s">
        <v>159</v>
      </c>
      <c r="K3" s="373"/>
      <c r="L3" s="374"/>
      <c r="N3" s="414" t="s">
        <v>196</v>
      </c>
      <c r="O3" s="414"/>
      <c r="P3" s="414"/>
      <c r="Q3" s="414"/>
    </row>
    <row r="4" spans="1:18" s="2" customFormat="1" ht="18" customHeight="1" thickBot="1">
      <c r="A4" s="254" t="s">
        <v>157</v>
      </c>
      <c r="B4" s="255" t="s">
        <v>58</v>
      </c>
      <c r="D4" s="297" t="s">
        <v>197</v>
      </c>
      <c r="E4" s="125" t="s">
        <v>198</v>
      </c>
      <c r="F4" s="298" t="s">
        <v>199</v>
      </c>
      <c r="G4" s="256" t="s">
        <v>197</v>
      </c>
      <c r="H4" s="257" t="s">
        <v>198</v>
      </c>
      <c r="I4" s="258" t="s">
        <v>199</v>
      </c>
      <c r="J4" s="259" t="s">
        <v>197</v>
      </c>
      <c r="K4" s="257" t="s">
        <v>198</v>
      </c>
      <c r="L4" s="258" t="s">
        <v>199</v>
      </c>
      <c r="N4" s="397" t="s">
        <v>53</v>
      </c>
      <c r="O4" s="400" t="s">
        <v>3</v>
      </c>
      <c r="P4" s="403" t="s">
        <v>200</v>
      </c>
      <c r="Q4" s="404"/>
    </row>
    <row r="5" spans="1:18" ht="15" customHeight="1">
      <c r="A5" s="260">
        <v>1</v>
      </c>
      <c r="B5" s="261">
        <v>40.92</v>
      </c>
      <c r="D5" s="262">
        <v>1</v>
      </c>
      <c r="E5" s="80">
        <v>33</v>
      </c>
      <c r="F5" s="263">
        <f>(VLOOKUP(D5,$A$5:$B$17,2)-$B$5)*E5</f>
        <v>0</v>
      </c>
      <c r="G5" s="9">
        <v>7</v>
      </c>
      <c r="H5" s="264">
        <v>32</v>
      </c>
      <c r="I5" s="263">
        <f>(VLOOKUP(G5,$A$5:$B$17,2)-$B$5)*H5</f>
        <v>4.1599999999998545</v>
      </c>
      <c r="J5" s="81">
        <v>88</v>
      </c>
      <c r="K5" s="80">
        <v>19</v>
      </c>
      <c r="L5" s="263">
        <f>(VLOOKUP(J5,$A$5:$B$17,2)-$B$5)*K5</f>
        <v>7.2199999999999136</v>
      </c>
      <c r="N5" s="398"/>
      <c r="O5" s="401"/>
      <c r="P5" s="405"/>
      <c r="Q5" s="406"/>
    </row>
    <row r="6" spans="1:18" ht="15" customHeight="1" thickBot="1">
      <c r="A6" s="265">
        <v>2</v>
      </c>
      <c r="B6" s="266">
        <v>41.4</v>
      </c>
      <c r="D6" s="272">
        <v>12</v>
      </c>
      <c r="E6" s="3">
        <v>49</v>
      </c>
      <c r="F6" s="267">
        <f>(VLOOKUP(D6,$A$5:$B$17,2)-$B$5)*E6</f>
        <v>8.8199999999999861</v>
      </c>
      <c r="G6" s="3">
        <v>3</v>
      </c>
      <c r="H6" s="3">
        <v>49</v>
      </c>
      <c r="I6" s="268">
        <f t="shared" ref="I6:I12" si="0">(VLOOKUP(G6,$A$5:$B$17,2)-$B$5)*H6</f>
        <v>21.069999999999986</v>
      </c>
      <c r="J6" s="27">
        <v>11</v>
      </c>
      <c r="K6" s="3">
        <v>61</v>
      </c>
      <c r="L6" s="268">
        <f t="shared" ref="L6:L12" si="1">(VLOOKUP(J6,$A$5:$B$17,2)-$B$5)*K6</f>
        <v>24.399999999999913</v>
      </c>
      <c r="N6" s="399"/>
      <c r="O6" s="402"/>
      <c r="P6" s="270" t="s">
        <v>58</v>
      </c>
      <c r="Q6" s="271" t="s">
        <v>59</v>
      </c>
    </row>
    <row r="7" spans="1:18" ht="15" customHeight="1">
      <c r="A7" s="265">
        <v>3</v>
      </c>
      <c r="B7" s="266">
        <v>41.35</v>
      </c>
      <c r="D7" s="272">
        <v>5</v>
      </c>
      <c r="E7" s="3">
        <v>70</v>
      </c>
      <c r="F7" s="269">
        <f t="shared" ref="F7:F12" si="2">(VLOOKUP(D7,$A$5:$B$17,2)-$B$5)*E7</f>
        <v>13.999999999999702</v>
      </c>
      <c r="G7" s="3">
        <v>9</v>
      </c>
      <c r="H7" s="3">
        <v>70</v>
      </c>
      <c r="I7" s="269">
        <f t="shared" si="0"/>
        <v>18.899999999999721</v>
      </c>
      <c r="J7" s="27">
        <v>10</v>
      </c>
      <c r="K7" s="273">
        <v>20</v>
      </c>
      <c r="L7" s="269">
        <f t="shared" si="1"/>
        <v>14.599999999999937</v>
      </c>
      <c r="N7" s="407">
        <v>1</v>
      </c>
      <c r="O7" s="408" t="s">
        <v>151</v>
      </c>
      <c r="P7" s="409">
        <f>I13-I13</f>
        <v>0</v>
      </c>
      <c r="Q7" s="410">
        <v>0</v>
      </c>
    </row>
    <row r="8" spans="1:18" ht="15" customHeight="1">
      <c r="A8" s="265">
        <v>5</v>
      </c>
      <c r="B8" s="266">
        <v>41.12</v>
      </c>
      <c r="D8" s="274">
        <v>2</v>
      </c>
      <c r="E8" s="3">
        <v>24</v>
      </c>
      <c r="F8" s="267">
        <f t="shared" si="2"/>
        <v>11.519999999999925</v>
      </c>
      <c r="G8" s="27">
        <v>1</v>
      </c>
      <c r="H8" s="3">
        <v>61</v>
      </c>
      <c r="I8" s="267">
        <f t="shared" si="0"/>
        <v>0</v>
      </c>
      <c r="J8" s="27">
        <v>88</v>
      </c>
      <c r="K8" s="273">
        <v>52</v>
      </c>
      <c r="L8" s="267">
        <f t="shared" si="1"/>
        <v>19.759999999999764</v>
      </c>
      <c r="N8" s="376"/>
      <c r="O8" s="384"/>
      <c r="P8" s="380"/>
      <c r="Q8" s="382"/>
    </row>
    <row r="9" spans="1:18" ht="15" customHeight="1">
      <c r="A9" s="265">
        <v>6</v>
      </c>
      <c r="B9" s="266">
        <v>41.59</v>
      </c>
      <c r="D9" s="274">
        <v>88</v>
      </c>
      <c r="E9" s="3">
        <v>43</v>
      </c>
      <c r="F9" s="267">
        <f t="shared" si="2"/>
        <v>16.339999999999804</v>
      </c>
      <c r="G9" s="3">
        <v>13</v>
      </c>
      <c r="H9" s="3">
        <v>22</v>
      </c>
      <c r="I9" s="269">
        <f t="shared" si="0"/>
        <v>8.3599999999999</v>
      </c>
      <c r="J9" s="27">
        <v>11</v>
      </c>
      <c r="K9" s="273">
        <v>38</v>
      </c>
      <c r="L9" s="269">
        <f t="shared" si="1"/>
        <v>15.199999999999946</v>
      </c>
      <c r="N9" s="376">
        <v>3</v>
      </c>
      <c r="O9" s="384" t="s">
        <v>15</v>
      </c>
      <c r="P9" s="379">
        <f>F13-I13</f>
        <v>2.2199999999996862</v>
      </c>
      <c r="Q9" s="390">
        <f t="shared" ref="Q9" si="3">P9/$B$18</f>
        <v>5.3765043406974779E-2</v>
      </c>
    </row>
    <row r="10" spans="1:18" ht="15" customHeight="1">
      <c r="A10" s="265">
        <v>7</v>
      </c>
      <c r="B10" s="266">
        <v>41.05</v>
      </c>
      <c r="D10" s="274">
        <v>7</v>
      </c>
      <c r="E10" s="3">
        <v>32</v>
      </c>
      <c r="F10" s="269">
        <f t="shared" si="2"/>
        <v>4.1599999999998545</v>
      </c>
      <c r="G10" s="27">
        <v>12</v>
      </c>
      <c r="H10" s="3">
        <v>51</v>
      </c>
      <c r="I10" s="267">
        <f t="shared" si="0"/>
        <v>9.1799999999999855</v>
      </c>
      <c r="J10" s="27">
        <v>12</v>
      </c>
      <c r="K10" s="273">
        <v>28</v>
      </c>
      <c r="L10" s="269">
        <f t="shared" si="1"/>
        <v>5.039999999999992</v>
      </c>
      <c r="N10" s="376"/>
      <c r="O10" s="384"/>
      <c r="P10" s="380"/>
      <c r="Q10" s="382"/>
    </row>
    <row r="11" spans="1:18" ht="15" customHeight="1">
      <c r="A11" s="265">
        <v>9</v>
      </c>
      <c r="B11" s="275">
        <v>41.19</v>
      </c>
      <c r="D11" s="274">
        <v>1</v>
      </c>
      <c r="E11" s="3">
        <v>32</v>
      </c>
      <c r="F11" s="267">
        <f t="shared" si="2"/>
        <v>0</v>
      </c>
      <c r="G11" s="27">
        <v>6</v>
      </c>
      <c r="H11" s="3">
        <v>13</v>
      </c>
      <c r="I11" s="267">
        <f t="shared" si="0"/>
        <v>8.7100000000000222</v>
      </c>
      <c r="J11" s="27">
        <v>9</v>
      </c>
      <c r="K11" s="273">
        <v>63</v>
      </c>
      <c r="L11" s="267">
        <f t="shared" si="1"/>
        <v>17.009999999999749</v>
      </c>
      <c r="N11" s="376">
        <v>2</v>
      </c>
      <c r="O11" s="378" t="s">
        <v>19</v>
      </c>
      <c r="P11" s="379">
        <f>I25-I13</f>
        <v>31.179999999999509</v>
      </c>
      <c r="Q11" s="390">
        <f>P11/$B$18</f>
        <v>0.75513245649985772</v>
      </c>
    </row>
    <row r="12" spans="1:18" ht="16.5" thickBot="1">
      <c r="A12" s="265">
        <v>10</v>
      </c>
      <c r="B12" s="266">
        <v>41.65</v>
      </c>
      <c r="D12" s="276">
        <v>2</v>
      </c>
      <c r="E12" s="3">
        <v>37</v>
      </c>
      <c r="F12" s="268">
        <f t="shared" si="2"/>
        <v>17.759999999999884</v>
      </c>
      <c r="G12" s="272">
        <v>1</v>
      </c>
      <c r="H12" s="3">
        <v>22</v>
      </c>
      <c r="I12" s="267">
        <f t="shared" si="0"/>
        <v>0</v>
      </c>
      <c r="J12" s="272">
        <v>3</v>
      </c>
      <c r="K12" s="3">
        <v>38</v>
      </c>
      <c r="L12" s="267">
        <f t="shared" si="1"/>
        <v>16.339999999999989</v>
      </c>
      <c r="N12" s="376"/>
      <c r="O12" s="384"/>
      <c r="P12" s="380"/>
      <c r="Q12" s="382"/>
    </row>
    <row r="13" spans="1:18" ht="16.5" thickBot="1">
      <c r="A13" s="265">
        <v>11</v>
      </c>
      <c r="B13" s="266">
        <v>41.32</v>
      </c>
      <c r="D13" s="370" t="s">
        <v>201</v>
      </c>
      <c r="E13" s="371"/>
      <c r="F13" s="277">
        <f>SUM(F5:F12)</f>
        <v>72.599999999999156</v>
      </c>
      <c r="G13" s="370" t="s">
        <v>201</v>
      </c>
      <c r="H13" s="371"/>
      <c r="I13" s="277">
        <f>SUM(I5:I12)</f>
        <v>70.37999999999947</v>
      </c>
      <c r="J13" s="370" t="s">
        <v>201</v>
      </c>
      <c r="K13" s="371"/>
      <c r="L13" s="278">
        <f>SUM(L5:L12)</f>
        <v>119.56999999999921</v>
      </c>
      <c r="N13" s="376">
        <v>4</v>
      </c>
      <c r="O13" s="384" t="s">
        <v>160</v>
      </c>
      <c r="P13" s="379">
        <f>F37-I13</f>
        <v>41.749999999999844</v>
      </c>
      <c r="Q13" s="390">
        <f t="shared" ref="Q13" si="4">P13/$B$18</f>
        <v>1.0111218748835613</v>
      </c>
    </row>
    <row r="14" spans="1:18" ht="16.5" thickBot="1">
      <c r="A14" s="265">
        <v>12</v>
      </c>
      <c r="B14" s="266">
        <v>41.1</v>
      </c>
      <c r="D14" s="279"/>
      <c r="E14" s="279"/>
      <c r="F14" s="279"/>
      <c r="G14" s="279"/>
      <c r="H14" s="279"/>
      <c r="I14" s="279"/>
      <c r="J14" s="279"/>
      <c r="K14" s="279"/>
      <c r="L14" s="280"/>
      <c r="M14" s="280"/>
      <c r="N14" s="376"/>
      <c r="O14" s="384"/>
      <c r="P14" s="380"/>
      <c r="Q14" s="382"/>
    </row>
    <row r="15" spans="1:18">
      <c r="A15" s="265">
        <v>13</v>
      </c>
      <c r="B15" s="266">
        <v>41.3</v>
      </c>
      <c r="D15" s="391" t="s">
        <v>16</v>
      </c>
      <c r="E15" s="392"/>
      <c r="F15" s="393"/>
      <c r="G15" s="394" t="s">
        <v>19</v>
      </c>
      <c r="H15" s="395"/>
      <c r="I15" s="396"/>
      <c r="J15" s="372" t="s">
        <v>117</v>
      </c>
      <c r="K15" s="373"/>
      <c r="L15" s="374"/>
      <c r="N15" s="376">
        <v>5</v>
      </c>
      <c r="O15" s="384" t="s">
        <v>117</v>
      </c>
      <c r="P15" s="379">
        <f>L25-I13</f>
        <v>43.199999999999619</v>
      </c>
      <c r="Q15" s="390">
        <f t="shared" ref="Q15" si="5">P15/$B$18</f>
        <v>1.0462386825142425</v>
      </c>
    </row>
    <row r="16" spans="1:18" ht="16.5" thickBot="1">
      <c r="A16" s="265">
        <v>15</v>
      </c>
      <c r="B16" s="275">
        <v>41.49</v>
      </c>
      <c r="D16" s="256" t="s">
        <v>197</v>
      </c>
      <c r="E16" s="257" t="s">
        <v>198</v>
      </c>
      <c r="F16" s="258" t="s">
        <v>199</v>
      </c>
      <c r="G16" s="256" t="s">
        <v>197</v>
      </c>
      <c r="H16" s="257" t="s">
        <v>198</v>
      </c>
      <c r="I16" s="258" t="s">
        <v>199</v>
      </c>
      <c r="J16" s="281" t="s">
        <v>197</v>
      </c>
      <c r="K16" s="282" t="s">
        <v>198</v>
      </c>
      <c r="L16" s="283" t="s">
        <v>199</v>
      </c>
      <c r="N16" s="376"/>
      <c r="O16" s="384"/>
      <c r="P16" s="380"/>
      <c r="Q16" s="382"/>
    </row>
    <row r="17" spans="1:23" ht="16.5" thickBot="1">
      <c r="A17" s="284">
        <v>88</v>
      </c>
      <c r="B17" s="285">
        <v>41.3</v>
      </c>
      <c r="D17" s="262">
        <v>3</v>
      </c>
      <c r="E17" s="264">
        <v>21</v>
      </c>
      <c r="F17" s="263">
        <f>(VLOOKUP(D17,$A$5:$B$17,2)-$B$5)*E17</f>
        <v>9.029999999999994</v>
      </c>
      <c r="G17" s="81">
        <v>12</v>
      </c>
      <c r="H17" s="264">
        <v>23</v>
      </c>
      <c r="I17" s="263">
        <f>(VLOOKUP(G17,$A$5:$B$17,2)-$B$5)*H17</f>
        <v>4.1399999999999935</v>
      </c>
      <c r="J17" s="81">
        <v>10</v>
      </c>
      <c r="K17" s="264">
        <v>19</v>
      </c>
      <c r="L17" s="263">
        <f>(VLOOKUP(J17,$A$5:$B$17,2)-$B$5)*K17</f>
        <v>13.869999999999941</v>
      </c>
      <c r="N17" s="376">
        <v>6</v>
      </c>
      <c r="O17" s="384" t="s">
        <v>16</v>
      </c>
      <c r="P17" s="379">
        <f>F25-I13</f>
        <v>44.050000000000111</v>
      </c>
      <c r="Q17" s="390">
        <f t="shared" ref="Q17" si="6">P17/$B$18</f>
        <v>1.0668243973322431</v>
      </c>
    </row>
    <row r="18" spans="1:23" ht="16.5" thickBot="1">
      <c r="A18" s="286" t="s">
        <v>202</v>
      </c>
      <c r="B18" s="287">
        <f>AVERAGE(B5:B17)</f>
        <v>41.290769230769229</v>
      </c>
      <c r="D18" s="274">
        <v>5</v>
      </c>
      <c r="E18" s="3">
        <v>55</v>
      </c>
      <c r="F18" s="267">
        <f t="shared" ref="F18:F24" si="7">(VLOOKUP(D18,$A$5:$B$17,2)-$B$5)*E18</f>
        <v>10.999999999999766</v>
      </c>
      <c r="G18" s="3">
        <v>2</v>
      </c>
      <c r="H18" s="3">
        <v>52</v>
      </c>
      <c r="I18" s="268">
        <f t="shared" ref="I18:I24" si="8">(VLOOKUP(G18,$A$5:$B$17,2)-$B$5)*H18</f>
        <v>24.959999999999837</v>
      </c>
      <c r="J18" s="3">
        <v>9</v>
      </c>
      <c r="K18" s="3">
        <v>56</v>
      </c>
      <c r="L18" s="267">
        <f t="shared" ref="L18:L24" si="9">(VLOOKUP(J18,$A$5:$B$17,2)-$B$5)*K18</f>
        <v>15.119999999999777</v>
      </c>
      <c r="N18" s="376"/>
      <c r="O18" s="384"/>
      <c r="P18" s="380"/>
      <c r="Q18" s="382"/>
    </row>
    <row r="19" spans="1:23" ht="15.75" customHeight="1">
      <c r="D19" s="274">
        <v>13</v>
      </c>
      <c r="E19" s="273">
        <v>41</v>
      </c>
      <c r="F19" s="269">
        <f t="shared" si="7"/>
        <v>15.579999999999814</v>
      </c>
      <c r="G19" s="3">
        <v>7</v>
      </c>
      <c r="H19" s="273">
        <v>48</v>
      </c>
      <c r="I19" s="269">
        <f t="shared" si="8"/>
        <v>6.2399999999997817</v>
      </c>
      <c r="J19" s="3">
        <v>1</v>
      </c>
      <c r="K19" s="3">
        <v>54</v>
      </c>
      <c r="L19" s="269">
        <f t="shared" si="9"/>
        <v>0</v>
      </c>
      <c r="N19" s="375">
        <v>7</v>
      </c>
      <c r="O19" s="384" t="s">
        <v>159</v>
      </c>
      <c r="P19" s="379">
        <f>L13-I13</f>
        <v>49.189999999999742</v>
      </c>
      <c r="Q19" s="381">
        <f t="shared" ref="Q19" si="10">P19/$B$18</f>
        <v>1.1913074257610132</v>
      </c>
    </row>
    <row r="20" spans="1:23">
      <c r="D20" s="274">
        <v>12</v>
      </c>
      <c r="E20" s="273">
        <v>68</v>
      </c>
      <c r="F20" s="267">
        <f t="shared" si="7"/>
        <v>12.239999999999981</v>
      </c>
      <c r="G20" s="27">
        <v>15</v>
      </c>
      <c r="H20" s="273">
        <v>26</v>
      </c>
      <c r="I20" s="267">
        <f t="shared" si="8"/>
        <v>14.820000000000007</v>
      </c>
      <c r="J20" s="27">
        <v>10</v>
      </c>
      <c r="K20" s="3">
        <v>45</v>
      </c>
      <c r="L20" s="268">
        <f t="shared" si="9"/>
        <v>32.849999999999859</v>
      </c>
      <c r="N20" s="376"/>
      <c r="O20" s="384"/>
      <c r="P20" s="380"/>
      <c r="Q20" s="382"/>
    </row>
    <row r="21" spans="1:23">
      <c r="D21" s="288">
        <v>6</v>
      </c>
      <c r="E21" s="273">
        <v>23</v>
      </c>
      <c r="F21" s="269">
        <f t="shared" si="7"/>
        <v>15.410000000000039</v>
      </c>
      <c r="G21" s="27">
        <v>7</v>
      </c>
      <c r="H21" s="273">
        <v>61</v>
      </c>
      <c r="I21" s="269">
        <f t="shared" si="8"/>
        <v>7.9299999999997226</v>
      </c>
      <c r="J21" s="3">
        <v>9</v>
      </c>
      <c r="K21" s="3">
        <v>35</v>
      </c>
      <c r="L21" s="269">
        <f t="shared" si="9"/>
        <v>9.4499999999998607</v>
      </c>
      <c r="N21" s="375">
        <v>8</v>
      </c>
      <c r="O21" s="377" t="s">
        <v>20</v>
      </c>
      <c r="P21" s="379">
        <f>L37-I13</f>
        <v>72.729999999999976</v>
      </c>
      <c r="Q21" s="381">
        <f t="shared" ref="Q21" si="11">P21/$B$18</f>
        <v>1.7614106337792015</v>
      </c>
      <c r="S21" s="44"/>
    </row>
    <row r="22" spans="1:23">
      <c r="D22" s="274">
        <v>15</v>
      </c>
      <c r="E22" s="273">
        <v>67</v>
      </c>
      <c r="F22" s="268">
        <f t="shared" si="7"/>
        <v>38.190000000000019</v>
      </c>
      <c r="G22" s="27">
        <v>6</v>
      </c>
      <c r="H22" s="273">
        <v>19</v>
      </c>
      <c r="I22" s="267">
        <f t="shared" si="8"/>
        <v>12.730000000000032</v>
      </c>
      <c r="J22" s="27">
        <v>2</v>
      </c>
      <c r="K22" s="3">
        <v>68</v>
      </c>
      <c r="L22" s="267">
        <f t="shared" si="9"/>
        <v>32.639999999999787</v>
      </c>
      <c r="N22" s="376"/>
      <c r="O22" s="378"/>
      <c r="P22" s="380"/>
      <c r="Q22" s="382"/>
      <c r="S22" s="44"/>
    </row>
    <row r="23" spans="1:23">
      <c r="D23" s="274">
        <v>11</v>
      </c>
      <c r="E23" s="273">
        <v>23</v>
      </c>
      <c r="F23" s="269">
        <f t="shared" si="7"/>
        <v>9.1999999999999673</v>
      </c>
      <c r="G23" s="27">
        <v>88</v>
      </c>
      <c r="H23" s="273">
        <v>61</v>
      </c>
      <c r="I23" s="267">
        <f t="shared" si="8"/>
        <v>23.179999999999723</v>
      </c>
      <c r="J23" s="27">
        <v>7</v>
      </c>
      <c r="K23" s="3">
        <v>25</v>
      </c>
      <c r="L23" s="267">
        <f t="shared" si="9"/>
        <v>3.2499999999998863</v>
      </c>
      <c r="N23" s="376">
        <v>9</v>
      </c>
      <c r="O23" s="384" t="s">
        <v>104</v>
      </c>
      <c r="P23" s="386">
        <f>I37-I13</f>
        <v>115.24000000000022</v>
      </c>
      <c r="Q23" s="388">
        <f t="shared" ref="Q23" si="12">P23/$B$18</f>
        <v>2.7909385595588563</v>
      </c>
      <c r="S23" s="44"/>
      <c r="T23" s="44"/>
      <c r="V23"/>
      <c r="W23"/>
    </row>
    <row r="24" spans="1:23" ht="16.5" thickBot="1">
      <c r="D24" s="272">
        <v>12</v>
      </c>
      <c r="E24" s="3">
        <v>21</v>
      </c>
      <c r="F24" s="267">
        <f t="shared" si="7"/>
        <v>3.779999999999994</v>
      </c>
      <c r="G24" s="272">
        <v>9</v>
      </c>
      <c r="H24" s="3">
        <v>28</v>
      </c>
      <c r="I24" s="267">
        <f t="shared" si="8"/>
        <v>7.5599999999998886</v>
      </c>
      <c r="J24" s="272">
        <v>11</v>
      </c>
      <c r="K24" s="3">
        <v>16</v>
      </c>
      <c r="L24" s="267">
        <f t="shared" si="9"/>
        <v>6.3999999999999773</v>
      </c>
      <c r="N24" s="383"/>
      <c r="O24" s="385"/>
      <c r="P24" s="387"/>
      <c r="Q24" s="389"/>
      <c r="S24" s="44"/>
      <c r="T24" s="44"/>
      <c r="V24"/>
      <c r="W24"/>
    </row>
    <row r="25" spans="1:23" ht="16.5" thickBot="1">
      <c r="D25" s="370" t="s">
        <v>201</v>
      </c>
      <c r="E25" s="371"/>
      <c r="F25" s="289">
        <f>SUM(F17:F24)</f>
        <v>114.42999999999958</v>
      </c>
      <c r="G25" s="370" t="s">
        <v>201</v>
      </c>
      <c r="H25" s="371"/>
      <c r="I25" s="278">
        <f>SUM(I17:I24)</f>
        <v>101.55999999999898</v>
      </c>
      <c r="J25" s="370" t="s">
        <v>201</v>
      </c>
      <c r="K25" s="371"/>
      <c r="L25" s="278">
        <f>SUM(L17:L24)</f>
        <v>113.57999999999909</v>
      </c>
      <c r="S25" s="44"/>
      <c r="T25" s="44"/>
      <c r="V25"/>
      <c r="W25"/>
    </row>
    <row r="26" spans="1:23" ht="16.5" thickBot="1">
      <c r="S26" s="44"/>
      <c r="T26" s="44"/>
      <c r="V26"/>
      <c r="W26"/>
    </row>
    <row r="27" spans="1:23">
      <c r="D27" s="372" t="s">
        <v>160</v>
      </c>
      <c r="E27" s="373"/>
      <c r="F27" s="374"/>
      <c r="G27" s="372" t="s">
        <v>104</v>
      </c>
      <c r="H27" s="373"/>
      <c r="I27" s="374"/>
      <c r="J27" s="372" t="s">
        <v>20</v>
      </c>
      <c r="K27" s="373"/>
      <c r="L27" s="374"/>
      <c r="S27" s="44"/>
      <c r="T27" s="44"/>
      <c r="V27"/>
      <c r="W27"/>
    </row>
    <row r="28" spans="1:23" ht="16.5" thickBot="1">
      <c r="D28" s="281" t="s">
        <v>197</v>
      </c>
      <c r="E28" s="282" t="s">
        <v>198</v>
      </c>
      <c r="F28" s="283" t="s">
        <v>199</v>
      </c>
      <c r="G28" s="281" t="s">
        <v>197</v>
      </c>
      <c r="H28" s="282" t="s">
        <v>198</v>
      </c>
      <c r="I28" s="283" t="s">
        <v>199</v>
      </c>
      <c r="J28" s="256" t="s">
        <v>197</v>
      </c>
      <c r="K28" s="257" t="s">
        <v>198</v>
      </c>
      <c r="L28" s="258" t="s">
        <v>199</v>
      </c>
      <c r="S28" s="44"/>
      <c r="T28" s="44"/>
      <c r="V28"/>
      <c r="W28"/>
    </row>
    <row r="29" spans="1:23">
      <c r="D29" s="290">
        <v>15</v>
      </c>
      <c r="E29" s="264">
        <v>24</v>
      </c>
      <c r="F29" s="263">
        <f>(VLOOKUP(D29,$A$5:$B$17,2)-$B$5)*E29</f>
        <v>13.680000000000007</v>
      </c>
      <c r="G29" s="9">
        <v>6</v>
      </c>
      <c r="H29" s="264">
        <v>29</v>
      </c>
      <c r="I29" s="263">
        <f>(VLOOKUP(G29,$A$5:$B$17,2)-$B$5)*H29</f>
        <v>19.430000000000049</v>
      </c>
      <c r="J29" s="9">
        <v>13</v>
      </c>
      <c r="K29" s="264">
        <v>39</v>
      </c>
      <c r="L29" s="263">
        <f>(VLOOKUP(J29,$A$5:$B$17,2)-$B$5)*K29</f>
        <v>14.819999999999823</v>
      </c>
      <c r="S29" s="44"/>
      <c r="T29" s="44"/>
      <c r="V29"/>
      <c r="W29"/>
    </row>
    <row r="30" spans="1:23">
      <c r="D30" s="272">
        <v>88</v>
      </c>
      <c r="E30" s="3">
        <v>54</v>
      </c>
      <c r="F30" s="267">
        <f t="shared" ref="F30:F36" si="13">(VLOOKUP(D30,$A$5:$B$17,2)-$B$5)*E30</f>
        <v>20.519999999999754</v>
      </c>
      <c r="G30" s="3">
        <v>10</v>
      </c>
      <c r="H30" s="3">
        <v>44</v>
      </c>
      <c r="I30" s="269">
        <f t="shared" ref="I30:I36" si="14">(VLOOKUP(G30,$A$5:$B$17,2)-$B$5)*H30</f>
        <v>32.119999999999862</v>
      </c>
      <c r="J30" s="3">
        <v>15</v>
      </c>
      <c r="K30" s="3">
        <v>48</v>
      </c>
      <c r="L30" s="267">
        <f t="shared" ref="L30:L36" si="15">(VLOOKUP(J30,$A$5:$B$17,2)-$B$5)*K30</f>
        <v>27.360000000000014</v>
      </c>
      <c r="S30" s="44"/>
      <c r="T30" s="44"/>
      <c r="V30"/>
      <c r="W30"/>
    </row>
    <row r="31" spans="1:23">
      <c r="D31" s="272">
        <v>2</v>
      </c>
      <c r="E31" s="3">
        <v>69</v>
      </c>
      <c r="F31" s="268">
        <f t="shared" si="13"/>
        <v>33.119999999999784</v>
      </c>
      <c r="G31" s="3">
        <v>6</v>
      </c>
      <c r="H31" s="3">
        <v>40</v>
      </c>
      <c r="I31" s="269">
        <f t="shared" si="14"/>
        <v>26.800000000000068</v>
      </c>
      <c r="J31" s="3">
        <v>11</v>
      </c>
      <c r="K31" s="3">
        <v>59</v>
      </c>
      <c r="L31" s="269">
        <f t="shared" si="15"/>
        <v>23.599999999999916</v>
      </c>
      <c r="S31" s="44"/>
      <c r="T31" s="44"/>
      <c r="V31"/>
      <c r="W31"/>
    </row>
    <row r="32" spans="1:23">
      <c r="D32" s="274">
        <v>6</v>
      </c>
      <c r="E32" s="273">
        <v>25</v>
      </c>
      <c r="F32" s="267">
        <f t="shared" si="13"/>
        <v>16.750000000000043</v>
      </c>
      <c r="G32" s="27">
        <v>3</v>
      </c>
      <c r="H32" s="273">
        <v>68</v>
      </c>
      <c r="I32" s="267">
        <f t="shared" si="14"/>
        <v>29.239999999999981</v>
      </c>
      <c r="J32" s="27">
        <v>13</v>
      </c>
      <c r="K32" s="273">
        <v>37</v>
      </c>
      <c r="L32" s="269">
        <f t="shared" si="15"/>
        <v>14.059999999999832</v>
      </c>
      <c r="S32" s="44"/>
      <c r="T32" s="44"/>
      <c r="V32"/>
      <c r="W32"/>
    </row>
    <row r="33" spans="1:23">
      <c r="D33" s="272">
        <v>5</v>
      </c>
      <c r="E33" s="273">
        <v>43</v>
      </c>
      <c r="F33" s="269">
        <f t="shared" si="13"/>
        <v>8.5999999999998167</v>
      </c>
      <c r="G33" s="3">
        <v>10</v>
      </c>
      <c r="H33" s="273">
        <v>63</v>
      </c>
      <c r="I33" s="268">
        <f t="shared" si="14"/>
        <v>45.989999999999803</v>
      </c>
      <c r="J33" s="27">
        <v>2</v>
      </c>
      <c r="K33" s="273">
        <v>20</v>
      </c>
      <c r="L33" s="269">
        <f t="shared" si="15"/>
        <v>9.5999999999999375</v>
      </c>
      <c r="S33" s="44"/>
      <c r="T33" s="44"/>
      <c r="V33"/>
      <c r="W33"/>
    </row>
    <row r="34" spans="1:23">
      <c r="D34" s="274">
        <v>1</v>
      </c>
      <c r="E34" s="273">
        <v>61</v>
      </c>
      <c r="F34" s="267">
        <f t="shared" si="13"/>
        <v>0</v>
      </c>
      <c r="G34" s="27">
        <v>6</v>
      </c>
      <c r="H34" s="273">
        <v>31</v>
      </c>
      <c r="I34" s="267">
        <f t="shared" si="14"/>
        <v>20.770000000000053</v>
      </c>
      <c r="J34" s="27">
        <v>3</v>
      </c>
      <c r="K34" s="273">
        <v>67</v>
      </c>
      <c r="L34" s="268">
        <f t="shared" si="15"/>
        <v>28.809999999999981</v>
      </c>
      <c r="S34" s="44"/>
      <c r="T34" s="44"/>
      <c r="V34"/>
      <c r="W34"/>
    </row>
    <row r="35" spans="1:23">
      <c r="D35" s="274">
        <v>13</v>
      </c>
      <c r="E35" s="273">
        <v>23</v>
      </c>
      <c r="F35" s="269">
        <f t="shared" si="13"/>
        <v>8.7399999999998954</v>
      </c>
      <c r="G35" s="27">
        <v>15</v>
      </c>
      <c r="H35" s="273">
        <v>11</v>
      </c>
      <c r="I35" s="267">
        <f t="shared" si="14"/>
        <v>6.2700000000000031</v>
      </c>
      <c r="J35" s="27">
        <v>10</v>
      </c>
      <c r="K35" s="273">
        <v>20</v>
      </c>
      <c r="L35" s="267">
        <f t="shared" si="15"/>
        <v>14.599999999999937</v>
      </c>
      <c r="S35" s="44"/>
      <c r="T35" s="44"/>
      <c r="V35"/>
      <c r="W35"/>
    </row>
    <row r="36" spans="1:23" ht="16.5" thickBot="1">
      <c r="A36" s="291"/>
      <c r="B36" s="291"/>
      <c r="D36" s="272">
        <v>6</v>
      </c>
      <c r="E36" s="3">
        <v>16</v>
      </c>
      <c r="F36" s="267">
        <f t="shared" si="13"/>
        <v>10.720000000000027</v>
      </c>
      <c r="G36" s="34">
        <v>5</v>
      </c>
      <c r="H36" s="3">
        <v>25</v>
      </c>
      <c r="I36" s="267">
        <f t="shared" si="14"/>
        <v>4.9999999999998934</v>
      </c>
      <c r="J36" s="27">
        <v>15</v>
      </c>
      <c r="K36" s="3">
        <v>18</v>
      </c>
      <c r="L36" s="267">
        <f t="shared" si="15"/>
        <v>10.260000000000005</v>
      </c>
      <c r="S36" s="44"/>
      <c r="T36" s="44"/>
      <c r="V36"/>
      <c r="W36"/>
    </row>
    <row r="37" spans="1:23" s="133" customFormat="1" ht="16.5" thickBot="1">
      <c r="A37" s="253"/>
      <c r="B37" s="253"/>
      <c r="D37" s="370" t="s">
        <v>201</v>
      </c>
      <c r="E37" s="371"/>
      <c r="F37" s="278">
        <f>SUM(F29:F36)</f>
        <v>112.12999999999931</v>
      </c>
      <c r="G37" s="370" t="s">
        <v>201</v>
      </c>
      <c r="H37" s="371"/>
      <c r="I37" s="292">
        <f>SUM(I29:I36)</f>
        <v>185.61999999999969</v>
      </c>
      <c r="J37" s="370" t="s">
        <v>201</v>
      </c>
      <c r="K37" s="371"/>
      <c r="L37" s="293">
        <f>SUM(L29:L36)</f>
        <v>143.10999999999945</v>
      </c>
      <c r="M37"/>
      <c r="N37"/>
      <c r="O37"/>
      <c r="P37"/>
      <c r="Q37"/>
      <c r="R37"/>
      <c r="S37" s="294"/>
      <c r="T37" s="294"/>
    </row>
    <row r="38" spans="1:23">
      <c r="A38" s="295"/>
      <c r="S38" s="44"/>
      <c r="T38" s="44"/>
      <c r="V38"/>
      <c r="W38"/>
    </row>
    <row r="39" spans="1:23">
      <c r="A39" s="295"/>
    </row>
    <row r="40" spans="1:23">
      <c r="A40" s="296" t="s">
        <v>204</v>
      </c>
    </row>
    <row r="41" spans="1:23">
      <c r="A41" s="296" t="s">
        <v>205</v>
      </c>
    </row>
    <row r="42" spans="1:23">
      <c r="A42" s="296" t="s">
        <v>207</v>
      </c>
    </row>
    <row r="43" spans="1:23">
      <c r="A43" s="296" t="s">
        <v>206</v>
      </c>
    </row>
    <row r="44" spans="1:23" ht="6.75" customHeight="1">
      <c r="A44" s="296"/>
    </row>
    <row r="45" spans="1:23">
      <c r="A45" s="296" t="s">
        <v>208</v>
      </c>
    </row>
    <row r="46" spans="1:23">
      <c r="A46" s="296" t="s">
        <v>209</v>
      </c>
    </row>
    <row r="47" spans="1:23">
      <c r="A47" s="295"/>
    </row>
    <row r="48" spans="1:23" ht="6.75" customHeight="1">
      <c r="A48" s="296"/>
    </row>
    <row r="49" spans="1:23">
      <c r="A49" s="295"/>
    </row>
    <row r="50" spans="1:23" s="253" customFormat="1">
      <c r="A50" s="295"/>
      <c r="C50"/>
      <c r="D50"/>
      <c r="E50"/>
      <c r="F50" s="44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 s="44"/>
      <c r="W50" s="44"/>
    </row>
    <row r="51" spans="1:23" s="253" customFormat="1">
      <c r="A51" s="295"/>
      <c r="C51"/>
      <c r="D51"/>
      <c r="E51"/>
      <c r="F51" s="44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 s="44"/>
      <c r="W51" s="44"/>
    </row>
    <row r="52" spans="1:23">
      <c r="A52" s="296"/>
    </row>
    <row r="53" spans="1:23" s="253" customFormat="1">
      <c r="A53" s="295"/>
      <c r="C53"/>
      <c r="D53"/>
      <c r="E53"/>
      <c r="F53" s="44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 s="44"/>
      <c r="W53" s="44"/>
    </row>
    <row r="54" spans="1:23" s="253" customFormat="1">
      <c r="A54" s="295"/>
      <c r="C54"/>
      <c r="D54"/>
      <c r="E54"/>
      <c r="F54" s="4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 s="44"/>
      <c r="W54" s="44"/>
    </row>
    <row r="55" spans="1:23" s="253" customFormat="1">
      <c r="A55" s="295"/>
      <c r="C55"/>
      <c r="D55"/>
      <c r="E55"/>
      <c r="F55" s="44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 s="44"/>
      <c r="W55" s="44"/>
    </row>
    <row r="56" spans="1:23" s="253" customFormat="1">
      <c r="A56" s="295"/>
      <c r="C56"/>
      <c r="D56"/>
      <c r="E56"/>
      <c r="F56" s="44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 s="44"/>
      <c r="W56" s="44"/>
    </row>
    <row r="58" spans="1:23" s="253" customFormat="1">
      <c r="A58" s="295"/>
      <c r="C58"/>
      <c r="D58"/>
      <c r="E58"/>
      <c r="F58" s="44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 s="44"/>
      <c r="W58" s="44"/>
    </row>
    <row r="59" spans="1:23" s="253" customFormat="1">
      <c r="A59" s="295"/>
      <c r="C59"/>
      <c r="D59"/>
      <c r="E59"/>
      <c r="F59" s="44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 s="44"/>
      <c r="W59" s="44"/>
    </row>
    <row r="60" spans="1:23" s="253" customFormat="1">
      <c r="A60" s="295"/>
      <c r="C60"/>
      <c r="D60"/>
      <c r="E60"/>
      <c r="F60" s="44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 s="44"/>
      <c r="W60" s="44"/>
    </row>
    <row r="62" spans="1:23" s="253" customFormat="1">
      <c r="A62" s="295"/>
      <c r="C62"/>
      <c r="D62"/>
      <c r="E62"/>
      <c r="F62" s="44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 s="44"/>
      <c r="W62" s="44"/>
    </row>
    <row r="63" spans="1:23" s="253" customFormat="1">
      <c r="A63" s="295"/>
      <c r="C63"/>
      <c r="D63"/>
      <c r="E63"/>
      <c r="F63" s="44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 s="44"/>
      <c r="W63" s="44"/>
    </row>
  </sheetData>
  <mergeCells count="60">
    <mergeCell ref="A1:R1"/>
    <mergeCell ref="A3:B3"/>
    <mergeCell ref="D3:F3"/>
    <mergeCell ref="G3:I3"/>
    <mergeCell ref="J3:L3"/>
    <mergeCell ref="N3:Q3"/>
    <mergeCell ref="N4:N6"/>
    <mergeCell ref="O4:O6"/>
    <mergeCell ref="P4:Q5"/>
    <mergeCell ref="N7:N8"/>
    <mergeCell ref="O7:O8"/>
    <mergeCell ref="P7:P8"/>
    <mergeCell ref="Q7:Q8"/>
    <mergeCell ref="N9:N10"/>
    <mergeCell ref="O9:O10"/>
    <mergeCell ref="P9:P10"/>
    <mergeCell ref="Q9:Q10"/>
    <mergeCell ref="N11:N12"/>
    <mergeCell ref="O11:O12"/>
    <mergeCell ref="P11:P12"/>
    <mergeCell ref="Q11:Q12"/>
    <mergeCell ref="Q13:Q14"/>
    <mergeCell ref="D15:F15"/>
    <mergeCell ref="G15:I15"/>
    <mergeCell ref="J15:L15"/>
    <mergeCell ref="N15:N16"/>
    <mergeCell ref="O15:O16"/>
    <mergeCell ref="P15:P16"/>
    <mergeCell ref="Q15:Q16"/>
    <mergeCell ref="D13:E13"/>
    <mergeCell ref="G13:H13"/>
    <mergeCell ref="J13:K13"/>
    <mergeCell ref="N13:N14"/>
    <mergeCell ref="O13:O14"/>
    <mergeCell ref="P13:P14"/>
    <mergeCell ref="N17:N18"/>
    <mergeCell ref="O17:O18"/>
    <mergeCell ref="P17:P18"/>
    <mergeCell ref="Q17:Q18"/>
    <mergeCell ref="N19:N20"/>
    <mergeCell ref="O19:O20"/>
    <mergeCell ref="P19:P20"/>
    <mergeCell ref="Q19:Q20"/>
    <mergeCell ref="N21:N22"/>
    <mergeCell ref="O21:O22"/>
    <mergeCell ref="P21:P22"/>
    <mergeCell ref="Q21:Q22"/>
    <mergeCell ref="N23:N24"/>
    <mergeCell ref="O23:O24"/>
    <mergeCell ref="P23:P24"/>
    <mergeCell ref="Q23:Q24"/>
    <mergeCell ref="D37:E37"/>
    <mergeCell ref="G37:H37"/>
    <mergeCell ref="J37:K37"/>
    <mergeCell ref="D25:E25"/>
    <mergeCell ref="G25:H25"/>
    <mergeCell ref="J25:K25"/>
    <mergeCell ref="D27:F27"/>
    <mergeCell ref="G27:I27"/>
    <mergeCell ref="J27:L27"/>
  </mergeCells>
  <pageMargins left="0.31496062992125984" right="0.31496062992125984" top="0.35433070866141736" bottom="0.15748031496062992" header="0.31496062992125984" footer="0.31496062992125984"/>
  <pageSetup paperSize="9" scale="8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J17" sqref="J17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423" t="s">
        <v>6</v>
      </c>
      <c r="B4" s="425" t="s">
        <v>7</v>
      </c>
      <c r="C4" s="427" t="s">
        <v>2</v>
      </c>
      <c r="D4" s="42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05" t="s">
        <v>14</v>
      </c>
      <c r="K4" s="305"/>
      <c r="L4" s="305" t="s">
        <v>148</v>
      </c>
      <c r="M4" s="415"/>
    </row>
    <row r="5" spans="1:14" s="1" customFormat="1" ht="22.5" customHeight="1" thickBot="1">
      <c r="A5" s="424"/>
      <c r="B5" s="426"/>
      <c r="C5" s="428"/>
      <c r="D5" s="430"/>
      <c r="E5" s="432"/>
      <c r="F5" s="432"/>
      <c r="G5" s="428"/>
      <c r="H5" s="433"/>
      <c r="I5" s="428"/>
      <c r="J5" s="37" t="s">
        <v>1</v>
      </c>
      <c r="K5" s="37" t="s">
        <v>0</v>
      </c>
      <c r="L5" s="97" t="s">
        <v>149</v>
      </c>
      <c r="M5" s="98" t="s">
        <v>150</v>
      </c>
    </row>
    <row r="6" spans="1:14" s="2" customFormat="1" ht="30" customHeight="1">
      <c r="A6" s="418" t="s">
        <v>15</v>
      </c>
      <c r="B6" s="39">
        <v>1</v>
      </c>
      <c r="C6" s="80" t="s">
        <v>22</v>
      </c>
      <c r="D6" s="81">
        <v>1</v>
      </c>
      <c r="E6" s="107">
        <v>41.18</v>
      </c>
      <c r="F6" s="82">
        <f>(41.94+41.54+41.5+41.59+41.58+41.41+41.37+41.42+41.38+41.44+41.34+41.29+41.5+41.45+41.44+41.2+41.39+41.59+41.25+41.22+41.5+41.29+41.33+41.18+41.42+41.25+41.98+41.8+41.68+41.51+41.45+41.41+41.41)/33</f>
        <v>41.456060606060618</v>
      </c>
      <c r="G6" s="80">
        <v>33</v>
      </c>
      <c r="H6" s="80">
        <f>G6-0</f>
        <v>33</v>
      </c>
      <c r="I6" s="83">
        <v>1.7094907407407409E-2</v>
      </c>
      <c r="J6" s="83">
        <f>I6</f>
        <v>1.7094907407407409E-2</v>
      </c>
      <c r="K6" s="84">
        <f>J6</f>
        <v>1.7094907407407409E-2</v>
      </c>
      <c r="L6" s="99">
        <f>F6-E6</f>
        <v>0.27606060606061789</v>
      </c>
      <c r="M6" s="85"/>
    </row>
    <row r="7" spans="1:14" s="2" customFormat="1" ht="30" customHeight="1">
      <c r="A7" s="419"/>
      <c r="B7" s="5">
        <v>2</v>
      </c>
      <c r="C7" s="30" t="s">
        <v>23</v>
      </c>
      <c r="D7" s="27" t="s">
        <v>128</v>
      </c>
      <c r="E7" s="108">
        <v>41.32</v>
      </c>
      <c r="F7" s="28">
        <f>(42.53+42.16+41.95+41.93+41.94+42.25+41.78+41.66+41.45+41.5+41.32+41.54+41.67+41.46+41.6+41.77+41.73+41.99+41.67+41.88+42.07+42.21+41.86+41.64+41.91+42.03+42.16+41.78+41.89+41.88+42.08+41.8+41.77+41.84+41.56+41.88+41.79+43.08+41.65+41.47+41.56+41.79+41.77+41.41+41.59+41.51+41.56+41.62)/48</f>
        <v>41.811249999999994</v>
      </c>
      <c r="G7" s="3">
        <v>82</v>
      </c>
      <c r="H7" s="3">
        <f>G7-G6</f>
        <v>49</v>
      </c>
      <c r="I7" s="23">
        <v>4.1597222222222223E-2</v>
      </c>
      <c r="J7" s="23">
        <f>I7-I6</f>
        <v>2.4502314814814814E-2</v>
      </c>
      <c r="K7" s="24">
        <f>J7</f>
        <v>2.4502314814814814E-2</v>
      </c>
      <c r="L7" s="32">
        <f t="shared" ref="L7:L13" si="0">F7-E7</f>
        <v>0.49124999999999375</v>
      </c>
      <c r="M7" s="86"/>
    </row>
    <row r="8" spans="1:14" s="2" customFormat="1" ht="30" customHeight="1">
      <c r="A8" s="419"/>
      <c r="B8" s="5">
        <v>3</v>
      </c>
      <c r="C8" s="3" t="s">
        <v>22</v>
      </c>
      <c r="D8" s="27">
        <v>5</v>
      </c>
      <c r="E8" s="90">
        <v>41.09</v>
      </c>
      <c r="F8" s="28">
        <f>(41.95+41.74+41.33+41.13+41.53+41.32+41.21+41.32+41.18+41.5+41.34+41.09+41.7+41.36+41.46+41.39+41.26+41.34+41.47+41.51+41.89+41.36+41.48+41.42+41.34+41.31+41.52+41.52+41.4+41.36+41.65+41.38+41.35+41.38+41.49+41.54+41.45+41.52+41.35+41.41+41.33+41.46+41.62+41.43+41.45+41.45+41.51+41.39+41.69+41.37+41.61+41.42+41.41+41.69+41.55+41.66+41.68+41.56+41.48+41.53+41.58+41.66+41.79+41.51+41.66+41.7+41.57+41.48+41.93)/69</f>
        <v>41.48434782608696</v>
      </c>
      <c r="G8" s="3">
        <v>152</v>
      </c>
      <c r="H8" s="3">
        <f t="shared" ref="H8:H12" si="1">G8-G7</f>
        <v>70</v>
      </c>
      <c r="I8" s="23">
        <v>7.5983796296296299E-2</v>
      </c>
      <c r="J8" s="23">
        <f>I8-I7</f>
        <v>3.4386574074074076E-2</v>
      </c>
      <c r="K8" s="24">
        <f>J8+K6</f>
        <v>5.1481481481481489E-2</v>
      </c>
      <c r="L8" s="87">
        <f t="shared" si="0"/>
        <v>0.39434782608695684</v>
      </c>
      <c r="M8" s="86"/>
    </row>
    <row r="9" spans="1:14" s="2" customFormat="1" ht="30" customHeight="1">
      <c r="A9" s="419"/>
      <c r="B9" s="5">
        <v>4</v>
      </c>
      <c r="C9" s="3" t="s">
        <v>23</v>
      </c>
      <c r="D9" s="27">
        <v>2</v>
      </c>
      <c r="E9" s="88">
        <v>41.64</v>
      </c>
      <c r="F9" s="28">
        <f>(43.21+42.23+41.85+41.82+42.17+41.81+42.15+42.17+42.64+41.86+41.74+42.54+41.81+41.64+41.9+42.14+41.78+42.06+41.67+41.82+41.76+41.67+41.78)/23</f>
        <v>42.009565217391298</v>
      </c>
      <c r="G9" s="3">
        <v>176</v>
      </c>
      <c r="H9" s="3">
        <f t="shared" si="1"/>
        <v>24</v>
      </c>
      <c r="I9" s="23">
        <v>8.8414351851851855E-2</v>
      </c>
      <c r="J9" s="23">
        <f t="shared" ref="J9:J12" si="2">I9-I8</f>
        <v>1.2430555555555556E-2</v>
      </c>
      <c r="K9" s="26">
        <f>J9+K7</f>
        <v>3.6932870370370366E-2</v>
      </c>
      <c r="L9" s="32">
        <f t="shared" si="0"/>
        <v>0.36956521739129755</v>
      </c>
      <c r="M9" s="86"/>
    </row>
    <row r="10" spans="1:14" s="2" customFormat="1" ht="30" customHeight="1">
      <c r="A10" s="419"/>
      <c r="B10" s="5">
        <v>5</v>
      </c>
      <c r="C10" s="3" t="s">
        <v>23</v>
      </c>
      <c r="D10" s="27">
        <v>88</v>
      </c>
      <c r="E10" s="88">
        <v>41.53</v>
      </c>
      <c r="F10" s="28">
        <f>(42.4+41.81+41.86+41.92+41.73+41.64+41.67+41.6+41.53+41.62+41.81+41.8+42.7+41.91+41.62+41.76+42.66+41.75+41.54+41.62+41.6+41.64+41.93+41.57+41.53+41.93+41.83+41.86+41.57+42.17+41.89+41.81+41.79+41.79+41.74+41.62+41.71+41.73+41.83+41.7+41.88+42.72)/42</f>
        <v>41.828333333333333</v>
      </c>
      <c r="G10" s="3">
        <v>219</v>
      </c>
      <c r="H10" s="3">
        <f t="shared" si="1"/>
        <v>43</v>
      </c>
      <c r="I10" s="23">
        <v>0.11001157407407407</v>
      </c>
      <c r="J10" s="23">
        <f t="shared" si="2"/>
        <v>2.1597222222222212E-2</v>
      </c>
      <c r="K10" s="26">
        <f>J10+K9</f>
        <v>5.8530092592592578E-2</v>
      </c>
      <c r="L10" s="113">
        <f t="shared" si="0"/>
        <v>0.29833333333333201</v>
      </c>
      <c r="M10" s="86"/>
    </row>
    <row r="11" spans="1:14" s="2" customFormat="1" ht="30" customHeight="1" thickBot="1">
      <c r="A11" s="419"/>
      <c r="B11" s="5">
        <v>6</v>
      </c>
      <c r="C11" s="3" t="s">
        <v>22</v>
      </c>
      <c r="D11" s="27">
        <v>7</v>
      </c>
      <c r="E11" s="103">
        <v>41.23</v>
      </c>
      <c r="F11" s="28">
        <f>(42.1+41.57+41.57+41.43+41.42+41.48+41.31+41.32+41.36+41.51+41.31+41.24+41.43+41.39+41.37+41.43+41.35+41.25+41.42+41.61+41.42+41.59+41.48+41.32+41.25+41.23+41.43+41.46+41.52+41.36+41.44)/31</f>
        <v>41.431290322580644</v>
      </c>
      <c r="G11" s="3">
        <v>251</v>
      </c>
      <c r="H11" s="3">
        <f t="shared" si="1"/>
        <v>32</v>
      </c>
      <c r="I11" s="23">
        <v>0.12612268518518518</v>
      </c>
      <c r="J11" s="23">
        <f t="shared" si="2"/>
        <v>1.6111111111111118E-2</v>
      </c>
      <c r="K11" s="26">
        <f>J11+K8</f>
        <v>6.7592592592592607E-2</v>
      </c>
      <c r="L11" s="89">
        <f t="shared" si="0"/>
        <v>0.20129032258064683</v>
      </c>
      <c r="M11" s="86"/>
    </row>
    <row r="12" spans="1:14" s="2" customFormat="1" ht="30" customHeight="1" thickBot="1">
      <c r="A12" s="419"/>
      <c r="B12" s="5">
        <v>7</v>
      </c>
      <c r="C12" s="3" t="s">
        <v>22</v>
      </c>
      <c r="D12" s="27">
        <v>1</v>
      </c>
      <c r="E12" s="33">
        <v>41.05</v>
      </c>
      <c r="F12" s="92">
        <f>(41.91+41.35+41.22+41.21+41.34+41.08+41.06+41.46+41.35+41.05+41.37+41.33+41.46+41.57+42.01+41.37+41.42+41.26+41.46+41.46+41.37+41.39+41.18+41.28+41.2+41.15+41.63+43.57+41.9+42.1+52.51)/30</f>
        <v>43.234000000000009</v>
      </c>
      <c r="G12" s="3">
        <v>283</v>
      </c>
      <c r="H12" s="3">
        <f t="shared" si="1"/>
        <v>32</v>
      </c>
      <c r="I12" s="23">
        <v>0.1426388888888889</v>
      </c>
      <c r="J12" s="23">
        <f t="shared" si="2"/>
        <v>1.6516203703703713E-2</v>
      </c>
      <c r="K12" s="25">
        <f>J12+K11</f>
        <v>8.410879629629632E-2</v>
      </c>
      <c r="L12" s="32">
        <f t="shared" si="0"/>
        <v>2.1840000000000117</v>
      </c>
      <c r="M12" s="100">
        <f>AVERAGE(L6,L8,L11,L12)</f>
        <v>0.76392468868205832</v>
      </c>
      <c r="N12" s="2" t="s">
        <v>77</v>
      </c>
    </row>
    <row r="13" spans="1:14" s="2" customFormat="1" ht="30" customHeight="1" thickBot="1">
      <c r="A13" s="419"/>
      <c r="B13" s="102" t="s">
        <v>13</v>
      </c>
      <c r="C13" s="6" t="s">
        <v>23</v>
      </c>
      <c r="D13" s="6">
        <v>2</v>
      </c>
      <c r="E13" s="95">
        <v>41.74</v>
      </c>
      <c r="F13" s="104">
        <f>(62.87+60.49+59.23+54.23+51.62+49.56+47.32+45.69+43.92+42.9+42.67+42.29+42.36+42.18+42.17+41.96+41.74+41.89+42.25+44.66+43.55+49.91+55.74+61.23+61.83+61.43+61.6+60.89+62.29+61.67+61.56+61.09+61.33+61.01+65.73)/35</f>
        <v>52.367428571428562</v>
      </c>
      <c r="G13" s="34">
        <v>320</v>
      </c>
      <c r="H13" s="34">
        <f>G13-G12</f>
        <v>37</v>
      </c>
      <c r="I13" s="35">
        <v>0.16668981481481482</v>
      </c>
      <c r="J13" s="35">
        <f>I13-I12</f>
        <v>2.405092592592592E-2</v>
      </c>
      <c r="K13" s="96">
        <f>J13+K10</f>
        <v>8.2581018518518498E-2</v>
      </c>
      <c r="L13" s="91">
        <f t="shared" si="0"/>
        <v>10.62742857142856</v>
      </c>
      <c r="M13" s="101">
        <f>AVERAGE(L7,L9,L10,L13)</f>
        <v>2.9466442805382957</v>
      </c>
      <c r="N13" s="2" t="s">
        <v>76</v>
      </c>
    </row>
    <row r="14" spans="1:14" ht="16.5" thickBot="1">
      <c r="A14" s="420"/>
      <c r="B14" s="421"/>
      <c r="C14" s="422"/>
      <c r="D14" s="422"/>
      <c r="E14" s="105">
        <f>AVERAGE(E6:E13)</f>
        <v>41.347500000000004</v>
      </c>
      <c r="F14" s="106">
        <f>AVERAGE(F6:F13)</f>
        <v>43.20278448461017</v>
      </c>
      <c r="G14" s="12"/>
      <c r="H14" s="12"/>
      <c r="I14" s="12"/>
      <c r="J14" s="12"/>
      <c r="K14" s="12"/>
      <c r="L14" s="12"/>
      <c r="M14" s="12"/>
    </row>
    <row r="16" spans="1:14" ht="15.75">
      <c r="A16" s="94" t="s">
        <v>152</v>
      </c>
      <c r="C16" s="136" t="s">
        <v>162</v>
      </c>
    </row>
    <row r="17" spans="1:1" ht="15.75">
      <c r="A17" s="31"/>
    </row>
  </sheetData>
  <mergeCells count="15">
    <mergeCell ref="L4:M4"/>
    <mergeCell ref="A1:M1"/>
    <mergeCell ref="A3:M3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  <mergeCell ref="H4:H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H6" sqref="H6:H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311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07" t="s">
        <v>14</v>
      </c>
      <c r="K4" s="442"/>
      <c r="L4" s="307" t="s">
        <v>148</v>
      </c>
      <c r="M4" s="437"/>
      <c r="N4" s="44"/>
    </row>
    <row r="5" spans="1:14" s="1" customFormat="1" ht="22.5" customHeight="1" thickBot="1">
      <c r="A5" s="313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14" s="2" customFormat="1" ht="30" customHeight="1">
      <c r="A6" s="418" t="s">
        <v>151</v>
      </c>
      <c r="B6" s="39">
        <v>1</v>
      </c>
      <c r="C6" s="80" t="s">
        <v>29</v>
      </c>
      <c r="D6" s="81">
        <v>7</v>
      </c>
      <c r="E6" s="107">
        <v>41.31</v>
      </c>
      <c r="F6" s="82">
        <f>(42.35+42.38+44.44+43.27+42.48+41.94+41.6+41.8+41.75+41.41+41.63+41.74+41.44+41.14+43.19+42.31+41.77+41.67+41.58+41.45+41.48+41.64+41.68+41.42+41.31+41.33+41.35+41.58+41.56+41.89+41.59+41.48)/32</f>
        <v>41.864062499999989</v>
      </c>
      <c r="G6" s="80">
        <v>32</v>
      </c>
      <c r="H6" s="80">
        <f>G6-0</f>
        <v>32</v>
      </c>
      <c r="I6" s="83">
        <v>1.6793981481481483E-2</v>
      </c>
      <c r="J6" s="83">
        <f>I6</f>
        <v>1.6793981481481483E-2</v>
      </c>
      <c r="K6" s="84">
        <f>J6</f>
        <v>1.6793981481481483E-2</v>
      </c>
      <c r="L6" s="99">
        <f>F6-E6</f>
        <v>0.55406249999998636</v>
      </c>
      <c r="M6" s="85"/>
    </row>
    <row r="7" spans="1:14" s="2" customFormat="1" ht="30" customHeight="1">
      <c r="A7" s="419"/>
      <c r="B7" s="5">
        <v>2</v>
      </c>
      <c r="C7" s="30" t="s">
        <v>28</v>
      </c>
      <c r="D7" s="27">
        <v>3</v>
      </c>
      <c r="E7" s="3">
        <v>41.36</v>
      </c>
      <c r="F7" s="28">
        <f>(42.68+42+41.87+41.69+41.63+41.56+41.69+41.64+41.52+41.8+41.54+41.7+41.68+41.52+41.5+41.46+41.56+41.75+41.45+41.51+41.71+41.79+41.81+41.73+41.59+41.63+41.6+41.64+41.55+41.7+41.49+42.45+41.66+41.72+41.51+41.48+41.49+41.47+41.36+41.49+41.4+41.47+41.7+41.82+41.53+41.46+41.49+41.52)/48</f>
        <v>41.646041666666669</v>
      </c>
      <c r="G7" s="3">
        <v>81</v>
      </c>
      <c r="H7" s="3">
        <f>G7-G6</f>
        <v>49</v>
      </c>
      <c r="I7" s="23">
        <v>4.1180555555555554E-2</v>
      </c>
      <c r="J7" s="23">
        <f>I7-I6</f>
        <v>2.4386574074074071E-2</v>
      </c>
      <c r="K7" s="24">
        <f>J7</f>
        <v>2.4386574074074071E-2</v>
      </c>
      <c r="L7" s="89">
        <f t="shared" ref="L7:L13" si="0">F7-E7</f>
        <v>0.28604166666666941</v>
      </c>
      <c r="M7" s="86"/>
    </row>
    <row r="8" spans="1:14" s="2" customFormat="1" ht="30" customHeight="1" thickBot="1">
      <c r="A8" s="419"/>
      <c r="B8" s="5">
        <v>3</v>
      </c>
      <c r="C8" s="3" t="s">
        <v>29</v>
      </c>
      <c r="D8" s="27">
        <v>9</v>
      </c>
      <c r="E8" s="95">
        <v>41.15</v>
      </c>
      <c r="F8" s="28">
        <f>(42.26+41.87+41.22+41.38+41.4+41.46+42.05+42.37+41.46+41.77+41.48+41.21+41.15+41.21+41.28+41.39+41.56+41.45+41.42+41.15+41.36+41.32+41.49+41.53+41.57+41.48+41.34+41.69+41.29+41.54+41.4+41.46+41.23+41.36+41.62+41.79+41.68+41.22+41.83+41.67+41.52+41.36+41.72+41.56+41.5+41.31+41.44+41.33+41.34+41.36+41.37+41.21+41.92+41.52+41.66+41.63+41.49+41.69+41.63+41.49+41.56+41.42+41.46+41.47+41.45+41.42+41.35+41.43+41.41)/69</f>
        <v>41.498985507246353</v>
      </c>
      <c r="G8" s="3">
        <v>151</v>
      </c>
      <c r="H8" s="3">
        <f t="shared" ref="H8:H12" si="1">G8-G7</f>
        <v>70</v>
      </c>
      <c r="I8" s="23">
        <v>7.5590277777777784E-2</v>
      </c>
      <c r="J8" s="23">
        <f>I8-I7</f>
        <v>3.440972222222223E-2</v>
      </c>
      <c r="K8" s="24">
        <f>J8+J6</f>
        <v>5.120370370370371E-2</v>
      </c>
      <c r="L8" s="87">
        <f t="shared" si="0"/>
        <v>0.34898550724635413</v>
      </c>
      <c r="M8" s="86"/>
    </row>
    <row r="9" spans="1:14" s="2" customFormat="1" ht="30" customHeight="1" thickBot="1">
      <c r="A9" s="419"/>
      <c r="B9" s="5">
        <v>4</v>
      </c>
      <c r="C9" s="3" t="s">
        <v>28</v>
      </c>
      <c r="D9" s="27">
        <v>1</v>
      </c>
      <c r="E9" s="33">
        <v>40.79</v>
      </c>
      <c r="F9" s="28">
        <f>(42.46+41.89+41.64+41.49+41.32+41.63+41.56+41.19+41.38+41.27+41.07+40.99+41.59+41.21+41.27+41.13+41.26+41.24+41.28+41.15+41.08+41.07+41.09+41.02+41.23+40.96+41.16+41.27+43.1+41.41+41.11+41.09+40.91+41.14+40.92+40.87+40.79+40.94+40.93+41.51+41.13+41.09+41.11+41.03+40.94+41.1+41+41.1+41.16+41.04+41.05+41.31+41.11+41.05+41.1+41.55+41.51+41.23+41.12+41.36)/60</f>
        <v>41.245166666666684</v>
      </c>
      <c r="G9" s="3">
        <v>212</v>
      </c>
      <c r="H9" s="3">
        <f t="shared" si="1"/>
        <v>61</v>
      </c>
      <c r="I9" s="23">
        <v>0.10555555555555556</v>
      </c>
      <c r="J9" s="23">
        <f t="shared" ref="J9:J12" si="2">I9-I8</f>
        <v>2.9965277777777771E-2</v>
      </c>
      <c r="K9" s="26">
        <f>J9+J7</f>
        <v>5.4351851851851846E-2</v>
      </c>
      <c r="L9" s="32">
        <f t="shared" si="0"/>
        <v>0.4551666666666847</v>
      </c>
      <c r="M9" s="86"/>
    </row>
    <row r="10" spans="1:14" s="2" customFormat="1" ht="30" customHeight="1">
      <c r="A10" s="419"/>
      <c r="B10" s="5">
        <v>5</v>
      </c>
      <c r="C10" s="3" t="s">
        <v>29</v>
      </c>
      <c r="D10" s="27">
        <v>13</v>
      </c>
      <c r="E10" s="111">
        <v>41.2</v>
      </c>
      <c r="F10" s="28">
        <f>(42.38+41.66+41.76+41.31+41.35+41.68+41.7+41.42+41.63+41.4+41.48+41.28+41.34+41.22+41.2+41.43+41.38+41.55+41.84+41.53+41.35)/21</f>
        <v>41.518571428571427</v>
      </c>
      <c r="G10" s="3">
        <v>234</v>
      </c>
      <c r="H10" s="3">
        <f t="shared" si="1"/>
        <v>22</v>
      </c>
      <c r="I10" s="23">
        <v>0.11689814814814814</v>
      </c>
      <c r="J10" s="23">
        <f t="shared" si="2"/>
        <v>1.1342592592592585E-2</v>
      </c>
      <c r="K10" s="26">
        <f>J10+K8</f>
        <v>6.2546296296296294E-2</v>
      </c>
      <c r="L10" s="113">
        <f t="shared" si="0"/>
        <v>0.31857142857142406</v>
      </c>
      <c r="M10" s="86"/>
    </row>
    <row r="11" spans="1:14" s="2" customFormat="1" ht="30" customHeight="1">
      <c r="A11" s="419"/>
      <c r="B11" s="5">
        <v>6</v>
      </c>
      <c r="C11" s="3" t="s">
        <v>29</v>
      </c>
      <c r="D11" s="27">
        <v>12</v>
      </c>
      <c r="E11" s="112">
        <v>41.13</v>
      </c>
      <c r="F11" s="92">
        <f>(42.8+41.46+41.38+42.48+41.3+41.84+41.69+41.71+41.65+41.3+41.6+41.74+41.36+41.44+41.26+41.34+41.5+41.28+41.51+41.26+41.57+42.3+41.42+41.13+41.39+41.23+41.13+41.48+41.15+41.29+41.46+41.52+41.86+41.73+41.66+41.64+41.73+41.55+41.72+41.86+41.59+41.46+41.47+41.28+42.02+41.69+44.95+42.64+42.78+55.62)/50</f>
        <v>41.964400000000005</v>
      </c>
      <c r="G11" s="3">
        <v>285</v>
      </c>
      <c r="H11" s="3">
        <f t="shared" si="1"/>
        <v>51</v>
      </c>
      <c r="I11" s="23">
        <v>0.14269675925925926</v>
      </c>
      <c r="J11" s="23">
        <f t="shared" si="2"/>
        <v>2.5798611111111119E-2</v>
      </c>
      <c r="K11" s="25">
        <f>J11+K10</f>
        <v>8.8344907407407414E-2</v>
      </c>
      <c r="L11" s="32">
        <f t="shared" si="0"/>
        <v>0.83440000000000225</v>
      </c>
      <c r="M11" s="86"/>
    </row>
    <row r="12" spans="1:14" s="2" customFormat="1" ht="30" customHeight="1">
      <c r="A12" s="419"/>
      <c r="B12" s="5">
        <v>7</v>
      </c>
      <c r="C12" s="3" t="s">
        <v>28</v>
      </c>
      <c r="D12" s="27">
        <v>6</v>
      </c>
      <c r="E12" s="88">
        <v>43.69</v>
      </c>
      <c r="F12" s="92">
        <f>(61.12+61.97+62.13+61.2+60.44+59.44+55.32+52.73+49.97+48.46+43.69)/11</f>
        <v>56.042727272727276</v>
      </c>
      <c r="G12" s="3">
        <v>298</v>
      </c>
      <c r="H12" s="3">
        <f t="shared" si="1"/>
        <v>13</v>
      </c>
      <c r="I12" s="23">
        <v>0.15346064814814817</v>
      </c>
      <c r="J12" s="23">
        <f t="shared" si="2"/>
        <v>1.0763888888888906E-2</v>
      </c>
      <c r="K12" s="26">
        <f>J12+K9</f>
        <v>6.5115740740740752E-2</v>
      </c>
      <c r="L12" s="32">
        <f t="shared" si="0"/>
        <v>12.352727272727279</v>
      </c>
      <c r="M12" s="100">
        <f>AVERAGE(L6,L8,L10,L11)</f>
        <v>0.5140048589544417</v>
      </c>
      <c r="N12" s="2" t="s">
        <v>29</v>
      </c>
    </row>
    <row r="13" spans="1:14" s="2" customFormat="1" ht="30" customHeight="1" thickBot="1">
      <c r="A13" s="419"/>
      <c r="B13" s="102" t="s">
        <v>13</v>
      </c>
      <c r="C13" s="6" t="s">
        <v>28</v>
      </c>
      <c r="D13" s="6">
        <v>1</v>
      </c>
      <c r="E13" s="95">
        <v>41.31</v>
      </c>
      <c r="F13" s="104">
        <f>(42.28+41.39+41.23+41.31+42.61+46.51+50.33+51.06+55.09+58.83+62.26+61.55+61.44+60.6+62.78+60.93+60.41+59.36+61.89+60.33+60.15)/21</f>
        <v>54.397142857142853</v>
      </c>
      <c r="G13" s="34">
        <v>320</v>
      </c>
      <c r="H13" s="34">
        <f>G13-G12</f>
        <v>22</v>
      </c>
      <c r="I13" s="35">
        <v>0.16668981481481482</v>
      </c>
      <c r="J13" s="35">
        <f>I13-I12</f>
        <v>1.3229166666666653E-2</v>
      </c>
      <c r="K13" s="96">
        <f>J13+K12</f>
        <v>7.8344907407407405E-2</v>
      </c>
      <c r="L13" s="91">
        <f t="shared" si="0"/>
        <v>13.087142857142851</v>
      </c>
      <c r="M13" s="101">
        <f>AVERAGE(L7,L9,L12,L13)</f>
        <v>6.545269615800871</v>
      </c>
      <c r="N13" s="2" t="s">
        <v>75</v>
      </c>
    </row>
    <row r="14" spans="1:14" ht="16.5" thickBot="1">
      <c r="A14" s="420"/>
      <c r="B14" s="434"/>
      <c r="C14" s="435"/>
      <c r="D14" s="436"/>
      <c r="E14" s="105">
        <f>AVERAGE(E6:E13)</f>
        <v>41.4925</v>
      </c>
      <c r="F14" s="106">
        <f>AVERAGE(F6:F13)</f>
        <v>45.022137237377656</v>
      </c>
      <c r="G14" s="12"/>
      <c r="H14" s="12"/>
      <c r="I14" s="12"/>
      <c r="J14" s="12"/>
      <c r="K14" s="12"/>
      <c r="L14" s="12"/>
      <c r="M14" s="12"/>
    </row>
    <row r="16" spans="1:14">
      <c r="A16" s="94" t="s">
        <v>152</v>
      </c>
    </row>
    <row r="17" spans="1:1" ht="15.75">
      <c r="A17" s="31"/>
    </row>
  </sheetData>
  <mergeCells count="15">
    <mergeCell ref="A3:M3"/>
    <mergeCell ref="A1:M1"/>
    <mergeCell ref="A6:A14"/>
    <mergeCell ref="B14:D14"/>
    <mergeCell ref="I4:I5"/>
    <mergeCell ref="L4:M4"/>
    <mergeCell ref="A4:A5"/>
    <mergeCell ref="B4:B5"/>
    <mergeCell ref="C4:C5"/>
    <mergeCell ref="D4:D5"/>
    <mergeCell ref="E4:E5"/>
    <mergeCell ref="F4:F5"/>
    <mergeCell ref="G4:G5"/>
    <mergeCell ref="H4:H5"/>
    <mergeCell ref="J4:K4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7"/>
  <sheetViews>
    <sheetView zoomScale="90" zoomScaleNormal="90" workbookViewId="0">
      <selection activeCell="L9" sqref="L9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20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20" ht="10.5" customHeight="1"/>
    <row r="3" spans="1:20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20" s="1" customFormat="1" ht="25.5" customHeight="1">
      <c r="A4" s="311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07" t="s">
        <v>14</v>
      </c>
      <c r="K4" s="442"/>
      <c r="L4" s="307" t="s">
        <v>148</v>
      </c>
      <c r="M4" s="437"/>
      <c r="N4" s="44"/>
    </row>
    <row r="5" spans="1:20" s="1" customFormat="1" ht="22.5" customHeight="1" thickBot="1">
      <c r="A5" s="313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20" s="2" customFormat="1" ht="30" customHeight="1">
      <c r="A6" s="418" t="s">
        <v>82</v>
      </c>
      <c r="B6" s="39">
        <v>1</v>
      </c>
      <c r="C6" s="80" t="s">
        <v>21</v>
      </c>
      <c r="D6" s="81">
        <v>88</v>
      </c>
      <c r="E6" s="107">
        <v>41.34</v>
      </c>
      <c r="F6" s="82">
        <f>(42.53+42.3+42.5+41.61+41.49+41.73+41.49+41.39+41.34+41.44+41.81+41.6+41.58+41.39+41.46+41.52+41.65+41.35+41.92)/19</f>
        <v>41.689473684210526</v>
      </c>
      <c r="G6" s="80">
        <v>19</v>
      </c>
      <c r="H6" s="80">
        <f>G6-0</f>
        <v>19</v>
      </c>
      <c r="I6" s="83">
        <v>1.045138888888889E-2</v>
      </c>
      <c r="J6" s="83">
        <f>I6</f>
        <v>1.045138888888889E-2</v>
      </c>
      <c r="K6" s="84">
        <f>J6</f>
        <v>1.045138888888889E-2</v>
      </c>
      <c r="L6" s="99">
        <f>F6-E6</f>
        <v>0.34947368421052261</v>
      </c>
      <c r="M6" s="85"/>
    </row>
    <row r="7" spans="1:20" s="2" customFormat="1" ht="30" customHeight="1">
      <c r="A7" s="419"/>
      <c r="B7" s="5">
        <v>2</v>
      </c>
      <c r="C7" s="30" t="s">
        <v>31</v>
      </c>
      <c r="D7" s="27">
        <v>11</v>
      </c>
      <c r="E7" s="116">
        <v>41.4</v>
      </c>
      <c r="F7" s="28">
        <f>(42.12+41.7+41.51+41.51+41.83+41.46+41.72+41.8+41.43+41.44+41.48+41.71+41.54+41.67+41.43+41.58+41.64+41.71+41.56+41.5+41.45+41.42+41.64+41.4+41.98+41.69+41.49+41.52+41.63+41.47+41.47+41.54+41.7+41.71+41.48+41.63+41.59+42.26+41.67+41.65+41.67+41.57+41.67+41.66+41.73+41.52+41.81+41.81+41.56+41.63+41.84+42.06+41.53+41.89+41.5+41.44+42.02+41.48+41.5+41.57)/60</f>
        <v>41.636500000000005</v>
      </c>
      <c r="G7" s="3">
        <v>80</v>
      </c>
      <c r="H7" s="3">
        <f>G7-G6</f>
        <v>61</v>
      </c>
      <c r="I7" s="23">
        <v>4.0613425925925928E-2</v>
      </c>
      <c r="J7" s="23">
        <f>I7-I6</f>
        <v>3.0162037037037036E-2</v>
      </c>
      <c r="K7" s="24">
        <f>J7</f>
        <v>3.0162037037037036E-2</v>
      </c>
      <c r="L7" s="89">
        <f t="shared" ref="L7:L13" si="0">F7-E7</f>
        <v>0.23650000000000659</v>
      </c>
      <c r="M7" s="86"/>
    </row>
    <row r="8" spans="1:20" s="2" customFormat="1" ht="30" customHeight="1" thickBot="1">
      <c r="A8" s="419"/>
      <c r="B8" s="5">
        <v>3</v>
      </c>
      <c r="C8" s="3" t="s">
        <v>32</v>
      </c>
      <c r="D8" s="27">
        <v>10</v>
      </c>
      <c r="E8" s="95">
        <v>41.86</v>
      </c>
      <c r="F8" s="28">
        <f>(43.96+42.51+42.37+42.11+42.05+42.04+42.33+42.53+43.51+41.98+41.86+41.94+42.42+42.22+42.02+41.95+42.04+41.86+41.91)/19</f>
        <v>42.295263157894738</v>
      </c>
      <c r="G8" s="3">
        <v>100</v>
      </c>
      <c r="H8" s="3">
        <f t="shared" ref="H8:H12" si="1">G8-G7</f>
        <v>20</v>
      </c>
      <c r="I8" s="23">
        <v>5.1168981481481489E-2</v>
      </c>
      <c r="J8" s="23">
        <f>I8-I7</f>
        <v>1.0555555555555561E-2</v>
      </c>
      <c r="K8" s="24">
        <f>J8</f>
        <v>1.0555555555555561E-2</v>
      </c>
      <c r="L8" s="87">
        <f t="shared" si="0"/>
        <v>0.43526315789473813</v>
      </c>
      <c r="M8" s="86"/>
    </row>
    <row r="9" spans="1:20" s="2" customFormat="1" ht="30" customHeight="1" thickBot="1">
      <c r="A9" s="419"/>
      <c r="B9" s="5">
        <v>4</v>
      </c>
      <c r="C9" s="3" t="s">
        <v>32</v>
      </c>
      <c r="D9" s="27">
        <v>88</v>
      </c>
      <c r="E9" s="33">
        <v>41.44</v>
      </c>
      <c r="F9" s="28">
        <f>(43.22+41.81+41.55+41.54+41.72+41.75+41.73+41.59+41.68+41.84+41.72+41.72+41.55+41.61+41.84+41.66+41.56+41.54+41.58+41.66+41.67+41.71+41.67+41.94+41.63+41.77+41.61+41.7+41.64+41.72+42.22+41.8+41.67+41.51+41.54+41.71+42.8+41.73+41.44+41.68+41.61+41.81+41.59+41.96+41.95+41.82+41.93+41.92+42.66+41.94+41.83)/51</f>
        <v>41.785294117647062</v>
      </c>
      <c r="G9" s="3">
        <v>152</v>
      </c>
      <c r="H9" s="3">
        <f t="shared" si="1"/>
        <v>52</v>
      </c>
      <c r="I9" s="23">
        <v>7.7083333333333337E-2</v>
      </c>
      <c r="J9" s="23">
        <f t="shared" ref="J9:J12" si="2">I9-I8</f>
        <v>2.5914351851851848E-2</v>
      </c>
      <c r="K9" s="26">
        <f>J9+J8</f>
        <v>3.6469907407407409E-2</v>
      </c>
      <c r="L9" s="113">
        <f t="shared" si="0"/>
        <v>0.34529411764706452</v>
      </c>
      <c r="M9" s="86"/>
    </row>
    <row r="10" spans="1:20" s="2" customFormat="1" ht="30" customHeight="1">
      <c r="A10" s="419"/>
      <c r="B10" s="5">
        <v>5</v>
      </c>
      <c r="C10" s="3" t="s">
        <v>31</v>
      </c>
      <c r="D10" s="27">
        <v>11</v>
      </c>
      <c r="E10" s="111">
        <v>41.23</v>
      </c>
      <c r="F10" s="28">
        <f>(42.53+42.06+41.89+41.64+41.71+41.54+42.1+41.71+41.89+41.74+41.64+41.58+41.77+41.58+41.37+41.41+41.48+41.5+41.81+41.41+41.38+41.52+41.69+41.52+41.47+41.5+41.46+41.57+41.37+41.44+41.23+41.39+41.57+41.46+41.32+41.39+41.5)/37</f>
        <v>41.598378378378378</v>
      </c>
      <c r="G10" s="3">
        <v>190</v>
      </c>
      <c r="H10" s="3">
        <f t="shared" si="1"/>
        <v>38</v>
      </c>
      <c r="I10" s="23">
        <v>9.6145833333333333E-2</v>
      </c>
      <c r="J10" s="23">
        <f t="shared" si="2"/>
        <v>1.9062499999999996E-2</v>
      </c>
      <c r="K10" s="25">
        <f>J10+K7</f>
        <v>4.9224537037037032E-2</v>
      </c>
      <c r="L10" s="32">
        <f t="shared" si="0"/>
        <v>0.36837837837838094</v>
      </c>
      <c r="M10" s="114"/>
    </row>
    <row r="11" spans="1:20" s="2" customFormat="1" ht="30" customHeight="1">
      <c r="A11" s="419"/>
      <c r="B11" s="5">
        <v>6</v>
      </c>
      <c r="C11" s="3" t="s">
        <v>21</v>
      </c>
      <c r="D11" s="27">
        <v>12</v>
      </c>
      <c r="E11" s="112">
        <v>41.25</v>
      </c>
      <c r="F11" s="121">
        <f>(42.26+41.65+41.47+41.44+41.35+41.38+41.54+41.94+41.46+41.27+41.63+41.36+41.32+41.46+41.48+41.25+41.37+41.26+41.35+41.36+41.94+42.05+41.47+41.44+41.29+41.27+41.33)/27</f>
        <v>41.495925925925924</v>
      </c>
      <c r="G11" s="3">
        <v>218</v>
      </c>
      <c r="H11" s="3">
        <f t="shared" si="1"/>
        <v>28</v>
      </c>
      <c r="I11" s="23">
        <v>0.11034722222222222</v>
      </c>
      <c r="J11" s="23">
        <f t="shared" si="2"/>
        <v>1.4201388888888888E-2</v>
      </c>
      <c r="K11" s="26">
        <f>J11+K6</f>
        <v>2.465277777777778E-2</v>
      </c>
      <c r="L11" s="113">
        <f t="shared" si="0"/>
        <v>0.2459259259259241</v>
      </c>
      <c r="M11" s="100">
        <f>AVERAGE(L7,L10)</f>
        <v>0.30243918918919377</v>
      </c>
      <c r="N11" s="2" t="s">
        <v>83</v>
      </c>
      <c r="O11" s="29"/>
      <c r="P11" s="29"/>
      <c r="Q11" s="29"/>
      <c r="R11" s="29"/>
      <c r="S11" s="29"/>
      <c r="T11" s="29"/>
    </row>
    <row r="12" spans="1:20" s="2" customFormat="1" ht="30" customHeight="1">
      <c r="A12" s="419"/>
      <c r="B12" s="5">
        <v>7</v>
      </c>
      <c r="C12" s="3" t="s">
        <v>21</v>
      </c>
      <c r="D12" s="27">
        <v>9</v>
      </c>
      <c r="E12" s="88">
        <v>41.23</v>
      </c>
      <c r="F12" s="121">
        <f>(41.91+41.37+41.35+41.46+42.02+41.42+41.51+41.59+42.15+41.42+41.41+41.49+41.49+41.67+41.74+41.23+41.46+41.53+41.33+41.5+41.52+41.68+41.42+41.3+41.35+41.3+41.57+41.48+41.47+41.35+41.89+41.46+41.83+41.57+41.45+41.51+41.52+41.51+41.37+41.3+41.34+41.42+41.58+41.34+42.15+41.73+41.81+41.49+41.61+41.56+41.66+41.63+41.47+41.51+41.62+41.55+41.57+41.57+41.7+42.04+44.11+42.24)/62</f>
        <v>41.606451612903214</v>
      </c>
      <c r="G12" s="3">
        <v>281</v>
      </c>
      <c r="H12" s="3">
        <f t="shared" si="1"/>
        <v>63</v>
      </c>
      <c r="I12" s="23">
        <v>0.14146990740740742</v>
      </c>
      <c r="J12" s="23">
        <f t="shared" si="2"/>
        <v>3.1122685185185198E-2</v>
      </c>
      <c r="K12" s="25">
        <f>J12+K11</f>
        <v>5.5775462962962978E-2</v>
      </c>
      <c r="L12" s="32">
        <f t="shared" si="0"/>
        <v>0.37645161290321738</v>
      </c>
      <c r="M12" s="100">
        <f>AVERAGE(L6,L11,L12)</f>
        <v>0.32395040767988803</v>
      </c>
      <c r="N12" s="2" t="s">
        <v>81</v>
      </c>
    </row>
    <row r="13" spans="1:20" s="2" customFormat="1" ht="30" customHeight="1" thickBot="1">
      <c r="A13" s="419"/>
      <c r="B13" s="40" t="s">
        <v>13</v>
      </c>
      <c r="C13" s="34" t="s">
        <v>32</v>
      </c>
      <c r="D13" s="34">
        <v>3</v>
      </c>
      <c r="E13" s="115">
        <v>42.13</v>
      </c>
      <c r="F13" s="93">
        <f>(63.51+63.29+62.83+62.65+62.95+61.62+60.21+60.12+55.31+52.2+44.91+63.82+43.86+43.11+43.11+42.96+42.7+42.13+42.32+44.23+47.95+50.97+50.41+56.77+61.43+61.65+63.23+61.52+61.62+61.56+61.5+62.42+61.67+61.46+60.42+59.87)/36</f>
        <v>55.619166666666679</v>
      </c>
      <c r="G13" s="34">
        <v>319</v>
      </c>
      <c r="H13" s="34">
        <f>G13-G12</f>
        <v>38</v>
      </c>
      <c r="I13" s="35">
        <v>0.16668981481481482</v>
      </c>
      <c r="J13" s="35">
        <f>I13-I12</f>
        <v>2.5219907407407399E-2</v>
      </c>
      <c r="K13" s="96">
        <f>J13+K9</f>
        <v>6.1689814814814808E-2</v>
      </c>
      <c r="L13" s="91">
        <f t="shared" si="0"/>
        <v>13.489166666666677</v>
      </c>
      <c r="M13" s="101">
        <f>AVERAGE(L8,L9,L13)</f>
        <v>4.7565746474028261</v>
      </c>
      <c r="N13" s="2" t="s">
        <v>84</v>
      </c>
    </row>
    <row r="14" spans="1:20" ht="16.5" thickBot="1">
      <c r="A14" s="420"/>
      <c r="B14" s="434"/>
      <c r="C14" s="435"/>
      <c r="D14" s="436"/>
      <c r="E14" s="105">
        <f>AVERAGE(E6:E13)</f>
        <v>41.484999999999999</v>
      </c>
      <c r="F14" s="106">
        <f>AVERAGE(F6:F13)</f>
        <v>43.465806692953315</v>
      </c>
      <c r="G14" s="12"/>
      <c r="H14" s="12"/>
      <c r="I14" s="12"/>
      <c r="J14" s="12"/>
      <c r="K14" s="12"/>
      <c r="L14" s="12"/>
      <c r="M14" s="12"/>
    </row>
    <row r="15" spans="1:20">
      <c r="F15" s="44" t="s">
        <v>135</v>
      </c>
    </row>
    <row r="16" spans="1:20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D12" sqref="D12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311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07" t="s">
        <v>14</v>
      </c>
      <c r="K4" s="442"/>
      <c r="L4" s="307" t="s">
        <v>148</v>
      </c>
      <c r="M4" s="437"/>
      <c r="N4" s="44"/>
    </row>
    <row r="5" spans="1:14" s="1" customFormat="1" ht="22.5" customHeight="1" thickBot="1">
      <c r="A5" s="313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14" s="2" customFormat="1" ht="30" customHeight="1">
      <c r="A6" s="418" t="s">
        <v>16</v>
      </c>
      <c r="B6" s="39">
        <v>1</v>
      </c>
      <c r="C6" s="80" t="s">
        <v>27</v>
      </c>
      <c r="D6" s="81">
        <v>3</v>
      </c>
      <c r="E6" s="107">
        <v>41.34</v>
      </c>
      <c r="F6" s="82">
        <f>(42.54+41.72+41.76+41.7+41.44+41.73+41.34+41.37+43.23+41.7+41.38+41.55+41.55+41.48+41.7+41.7+41.54+41.7+41.69+41.88+41.73)/21</f>
        <v>41.734761904761911</v>
      </c>
      <c r="G6" s="80">
        <v>21</v>
      </c>
      <c r="H6" s="80">
        <f>G6-0</f>
        <v>21</v>
      </c>
      <c r="I6" s="83">
        <v>1.1400462962962965E-2</v>
      </c>
      <c r="J6" s="83">
        <f>I6</f>
        <v>1.1400462962962965E-2</v>
      </c>
      <c r="K6" s="84">
        <f>J6</f>
        <v>1.1400462962962965E-2</v>
      </c>
      <c r="L6" s="99">
        <f>F6-E6</f>
        <v>0.39476190476190709</v>
      </c>
      <c r="M6" s="85"/>
    </row>
    <row r="7" spans="1:14" s="2" customFormat="1" ht="30" customHeight="1">
      <c r="A7" s="419"/>
      <c r="B7" s="5">
        <v>2</v>
      </c>
      <c r="C7" s="30" t="s">
        <v>27</v>
      </c>
      <c r="D7" s="27">
        <v>5</v>
      </c>
      <c r="E7" s="3">
        <v>41.15</v>
      </c>
      <c r="F7" s="28">
        <f>(42.1+41.15+41.17+41.22+41.42+41.21+41.29+41.79+41.49+41.36+41.48+41.43+41.47+41.28+41.38+41.29+41.22+41.44+41.42+41.51+41.39+41.42+41.49+41.5+41.22+41.47+41.34+41.25+41.41+41.43+41.46+42.34+41.48+41.31+41.48+41.29+41.18+41.28+41.21+41.43+41.34+41.33+41.61+41.36+41.24+41.45+41.27+41.53+41.39+41.54+41.35+41.26+41.39+41.3)/54</f>
        <v>41.40481481481482</v>
      </c>
      <c r="G7" s="3">
        <v>76</v>
      </c>
      <c r="H7" s="3">
        <f>G7-G6</f>
        <v>55</v>
      </c>
      <c r="I7" s="23">
        <v>3.8530092592592595E-2</v>
      </c>
      <c r="J7" s="23">
        <f>I7-I6</f>
        <v>2.7129629629629629E-2</v>
      </c>
      <c r="K7" s="24">
        <f>J7+K6</f>
        <v>3.8530092592592595E-2</v>
      </c>
      <c r="L7" s="89">
        <f t="shared" ref="L7:L13" si="0">F7-E7</f>
        <v>0.25481481481482149</v>
      </c>
      <c r="M7" s="86"/>
    </row>
    <row r="8" spans="1:14" s="2" customFormat="1" ht="30" customHeight="1" thickBot="1">
      <c r="A8" s="419"/>
      <c r="B8" s="5">
        <v>3</v>
      </c>
      <c r="C8" s="3" t="s">
        <v>26</v>
      </c>
      <c r="D8" s="27">
        <v>13</v>
      </c>
      <c r="E8" s="117">
        <v>41.4</v>
      </c>
      <c r="F8" s="28">
        <f>(43.04+42.14+42.09+41.89+41.76+41.77+41.77+41.85+41.52+41.96+41.58+41.75+41.78+42.56+41.7+41.59+41.61+41.46+41.48+41.4+41.86+41.5+41.76+41.48+41.65+41.58+41.68+41.63+41.58+41.49+41.64+41.73+41.65+41.65+42.63+41.66+41.77+41.69+41.74+41.64)/40</f>
        <v>41.767750000000021</v>
      </c>
      <c r="G8" s="3">
        <v>117</v>
      </c>
      <c r="H8" s="3">
        <f t="shared" ref="H8:H12" si="1">G8-G7</f>
        <v>41</v>
      </c>
      <c r="I8" s="23">
        <v>5.9120370370370372E-2</v>
      </c>
      <c r="J8" s="23">
        <f>I8-I7</f>
        <v>2.0590277777777777E-2</v>
      </c>
      <c r="K8" s="24">
        <f>J8</f>
        <v>2.0590277777777777E-2</v>
      </c>
      <c r="L8" s="113">
        <f t="shared" si="0"/>
        <v>0.36775000000002223</v>
      </c>
      <c r="M8" s="86"/>
    </row>
    <row r="9" spans="1:14" s="2" customFormat="1" ht="30" customHeight="1" thickBot="1">
      <c r="A9" s="419"/>
      <c r="B9" s="5">
        <v>4</v>
      </c>
      <c r="C9" s="3" t="s">
        <v>27</v>
      </c>
      <c r="D9" s="27">
        <v>12</v>
      </c>
      <c r="E9" s="33">
        <v>41.07</v>
      </c>
      <c r="F9" s="28">
        <f>(42.13+41.62+41.55+41.47+41.24+41.26+41.39+41.42+41.08+41.29+41.8+41.29+41.89+41.32+41.39+41.26+41.38+41.28+41.32+41.34+41.41+41.32+41.25+41.25+41.08+41.16+41.38+41.54+41.3+41.37+41.24+41.07+41.21+41.32+41.48+41.41+41.29+41.28+41.19+41.49+41.23+41.28+41.25+41.21+41.21+41.11+41.37+41.37+41.34+41.54+41.22+41.45+41.15+41.31+41.38+41.22+41.39+41.42+41.96+41.74+41.45+41.54+41.46+41.28+41.27+41.41)/66</f>
        <v>41.36848484848484</v>
      </c>
      <c r="G9" s="3">
        <v>185</v>
      </c>
      <c r="H9" s="3">
        <f t="shared" si="1"/>
        <v>68</v>
      </c>
      <c r="I9" s="23">
        <v>9.3321759259259271E-2</v>
      </c>
      <c r="J9" s="23">
        <f t="shared" ref="J9:J12" si="2">I9-I8</f>
        <v>3.4201388888888899E-2</v>
      </c>
      <c r="K9" s="26">
        <f>J9+K7</f>
        <v>7.2731481481481494E-2</v>
      </c>
      <c r="L9" s="32">
        <f t="shared" si="0"/>
        <v>0.29848484848483992</v>
      </c>
      <c r="M9" s="86"/>
    </row>
    <row r="10" spans="1:14" s="2" customFormat="1" ht="30" customHeight="1">
      <c r="A10" s="419"/>
      <c r="B10" s="5">
        <v>5</v>
      </c>
      <c r="C10" s="3" t="s">
        <v>26</v>
      </c>
      <c r="D10" s="27">
        <v>6</v>
      </c>
      <c r="E10" s="111">
        <v>41.61</v>
      </c>
      <c r="F10" s="28">
        <f>(42.93+42.07+42.04+41.84+42.02+41.96+41.86+41.95+42.03+41.97+41.73+41.74+41.87+41.82+41.63+41.65+41.61+41.93+43.37+42.28+42.08+41.99)/22</f>
        <v>42.016818181818188</v>
      </c>
      <c r="G10" s="3">
        <v>208</v>
      </c>
      <c r="H10" s="3">
        <f t="shared" si="1"/>
        <v>23</v>
      </c>
      <c r="I10" s="23">
        <v>0.10527777777777779</v>
      </c>
      <c r="J10" s="23">
        <f t="shared" si="2"/>
        <v>1.1956018518518519E-2</v>
      </c>
      <c r="K10" s="26">
        <f>J10+K8</f>
        <v>3.2546296296296295E-2</v>
      </c>
      <c r="L10" s="32">
        <f t="shared" si="0"/>
        <v>0.40681818181818841</v>
      </c>
      <c r="M10" s="86"/>
    </row>
    <row r="11" spans="1:14" s="2" customFormat="1" ht="30" customHeight="1">
      <c r="A11" s="419"/>
      <c r="B11" s="5">
        <v>6</v>
      </c>
      <c r="C11" s="3" t="s">
        <v>26</v>
      </c>
      <c r="D11" s="27">
        <v>15</v>
      </c>
      <c r="E11" s="112">
        <v>41.35</v>
      </c>
      <c r="F11" s="28">
        <f>(42.37+41.88+42.17+41.76+41.86+41.87+41.82+42.23+41.81+41.65+41.68+41.41+41.47+41.71+42.02+41.35+41.68+41.66+41.64+41.81+42.18+41.52+41.83+41.85+41.9+41.71+42.84+41.63+41.7+42.02+42.03+41.63+41.71+41.59+41.64+41.68+41.83+41.48+41.67+41.9+41.73+41.57+42.03+41.8+41.44+41.57+41.6+41.39+41.61+41.43+41.49+41.55+42.02+41.99+41.69+41.76+42.16+41.89+42.01+41.91+42.5+41.72+41.73+41.64+41.81)/65</f>
        <v>41.78815384615384</v>
      </c>
      <c r="G11" s="3">
        <v>275</v>
      </c>
      <c r="H11" s="3">
        <f t="shared" si="1"/>
        <v>67</v>
      </c>
      <c r="I11" s="23">
        <v>0.13934027777777777</v>
      </c>
      <c r="J11" s="23">
        <f t="shared" si="2"/>
        <v>3.4062499999999982E-2</v>
      </c>
      <c r="K11" s="26">
        <f>J11+K10</f>
        <v>6.6608796296296277E-2</v>
      </c>
      <c r="L11" s="32">
        <f t="shared" si="0"/>
        <v>0.43815384615383834</v>
      </c>
      <c r="M11" s="86"/>
    </row>
    <row r="12" spans="1:14" s="2" customFormat="1" ht="30" customHeight="1">
      <c r="A12" s="419"/>
      <c r="B12" s="5">
        <v>7</v>
      </c>
      <c r="C12" s="3" t="s">
        <v>27</v>
      </c>
      <c r="D12" s="27">
        <v>11</v>
      </c>
      <c r="E12" s="88">
        <v>41.58</v>
      </c>
      <c r="F12" s="92">
        <f>(44.48+42.51+46.45+61.29+61.91+61.96+62.15+61.4+60.88+60.49+59.29+58.35+55.25+52.76+48.77+44.9+43.31+42.34+42.07+41.64+41.58)/21</f>
        <v>52.084761904761905</v>
      </c>
      <c r="G12" s="3">
        <v>298</v>
      </c>
      <c r="H12" s="3">
        <f t="shared" si="1"/>
        <v>23</v>
      </c>
      <c r="I12" s="23">
        <v>0.15395833333333334</v>
      </c>
      <c r="J12" s="23">
        <f t="shared" si="2"/>
        <v>1.4618055555555565E-2</v>
      </c>
      <c r="K12" s="25">
        <f>J12+K9</f>
        <v>8.7349537037037059E-2</v>
      </c>
      <c r="L12" s="32">
        <f t="shared" si="0"/>
        <v>10.504761904761907</v>
      </c>
      <c r="M12" s="100">
        <f>AVERAGE(L8,L10,L11,L13)</f>
        <v>3.7729305069930135</v>
      </c>
      <c r="N12" s="2" t="s">
        <v>79</v>
      </c>
    </row>
    <row r="13" spans="1:14" s="2" customFormat="1" ht="30" customHeight="1" thickBot="1">
      <c r="A13" s="419"/>
      <c r="B13" s="102" t="s">
        <v>13</v>
      </c>
      <c r="C13" s="6" t="s">
        <v>26</v>
      </c>
      <c r="D13" s="6">
        <v>12</v>
      </c>
      <c r="E13" s="95">
        <v>42.22</v>
      </c>
      <c r="F13" s="104">
        <f>(42.22+42.85+43.96+42.94+49.78+50.98+49.54+56.81+63.15+62.17+62.36+62.45+62.9+62.17+61.44+61.64+61.17+61.42+61.08+60.95)/20</f>
        <v>56.099000000000004</v>
      </c>
      <c r="G13" s="34">
        <v>319</v>
      </c>
      <c r="H13" s="34">
        <f>G13-G12</f>
        <v>21</v>
      </c>
      <c r="I13" s="35">
        <v>0.16668981481481482</v>
      </c>
      <c r="J13" s="35">
        <f>I13-I12</f>
        <v>1.2731481481481483E-2</v>
      </c>
      <c r="K13" s="96">
        <f>J13+K11</f>
        <v>7.934027777777776E-2</v>
      </c>
      <c r="L13" s="91">
        <f t="shared" si="0"/>
        <v>13.879000000000005</v>
      </c>
      <c r="M13" s="101">
        <f>AVERAGE(L6,L7,L9,L12)</f>
        <v>2.8632058682058688</v>
      </c>
      <c r="N13" s="2" t="s">
        <v>80</v>
      </c>
    </row>
    <row r="14" spans="1:14" ht="16.5" thickBot="1">
      <c r="A14" s="420"/>
      <c r="B14" s="434"/>
      <c r="C14" s="435"/>
      <c r="D14" s="436"/>
      <c r="E14" s="105">
        <f>AVERAGE(E6:E13)</f>
        <v>41.465000000000003</v>
      </c>
      <c r="F14" s="106">
        <f>AVERAGE(F6:F13)</f>
        <v>44.78306818759944</v>
      </c>
      <c r="G14" s="12"/>
      <c r="H14" s="12"/>
      <c r="I14" s="12"/>
      <c r="J14" s="12"/>
      <c r="K14" s="12"/>
      <c r="L14" s="12"/>
      <c r="M14" s="12"/>
    </row>
    <row r="16" spans="1:14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H6" sqref="H6:H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311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07" t="s">
        <v>14</v>
      </c>
      <c r="K4" s="442"/>
      <c r="L4" s="307" t="s">
        <v>148</v>
      </c>
      <c r="M4" s="437"/>
      <c r="N4" s="44"/>
    </row>
    <row r="5" spans="1:14" s="1" customFormat="1" ht="22.5" customHeight="1" thickBot="1">
      <c r="A5" s="313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14" s="2" customFormat="1" ht="30" customHeight="1">
      <c r="A6" s="418" t="s">
        <v>19</v>
      </c>
      <c r="B6" s="39">
        <v>1</v>
      </c>
      <c r="C6" s="80" t="s">
        <v>131</v>
      </c>
      <c r="D6" s="81">
        <v>12</v>
      </c>
      <c r="E6" s="118">
        <v>41.34</v>
      </c>
      <c r="F6" s="119">
        <f>(42.37+41.46+41.38+41.75+41.41+41.43+41.47+41.5+43.1+41.65+41.6+41.41+41.7+41.34+41.9+41.54+41.51+41.64+42.06+42.84+41.52+41.48+41.68)/23</f>
        <v>41.727826086956519</v>
      </c>
      <c r="G6" s="80">
        <v>23</v>
      </c>
      <c r="H6" s="80">
        <f>G6-0</f>
        <v>23</v>
      </c>
      <c r="I6" s="83">
        <v>1.238425925925926E-2</v>
      </c>
      <c r="J6" s="83">
        <f>I6</f>
        <v>1.238425925925926E-2</v>
      </c>
      <c r="K6" s="84">
        <f>J6</f>
        <v>1.238425925925926E-2</v>
      </c>
      <c r="L6" s="99">
        <f>F6-E6</f>
        <v>0.38782608695651533</v>
      </c>
      <c r="M6" s="85"/>
    </row>
    <row r="7" spans="1:14" s="2" customFormat="1" ht="30" customHeight="1">
      <c r="A7" s="419"/>
      <c r="B7" s="5">
        <v>2</v>
      </c>
      <c r="C7" s="30" t="s">
        <v>131</v>
      </c>
      <c r="D7" s="27">
        <v>2</v>
      </c>
      <c r="E7" s="120">
        <v>41.34</v>
      </c>
      <c r="F7" s="109">
        <f>(42.24+41.42+41.34+41.75+41.44+41.44+41.66+41.88+41.8+41.68+41.49+41.43+41.82+41.79+41.81+41.7+41.49+41.88+41.44+41.8+41.6+41.65+41.61+41.8+41.55+41.85+41.68+41.59+41.8+41.81+41.6+42.05+41.68+41.89+41.69+41.72+42.51+42.6+42.16+41.55+41.46+41.6+41.64+41.74+41.79+41.95+41.68+41.96+41.58+41.43+41.62)/51</f>
        <v>41.728235294117646</v>
      </c>
      <c r="G7" s="3">
        <v>75</v>
      </c>
      <c r="H7" s="3">
        <f>G7-G6</f>
        <v>52</v>
      </c>
      <c r="I7" s="23">
        <v>3.8275462962962963E-2</v>
      </c>
      <c r="J7" s="23">
        <f t="shared" ref="J7:J11" si="0">I7-I6</f>
        <v>2.5891203703703701E-2</v>
      </c>
      <c r="K7" s="24">
        <f>K6+J7</f>
        <v>3.8275462962962963E-2</v>
      </c>
      <c r="L7" s="89">
        <f t="shared" ref="L7:L13" si="1">F7-E7</f>
        <v>0.38823529411764213</v>
      </c>
      <c r="M7" s="86"/>
    </row>
    <row r="8" spans="1:14" s="2" customFormat="1" ht="30" customHeight="1">
      <c r="A8" s="419"/>
      <c r="B8" s="5">
        <v>3</v>
      </c>
      <c r="C8" s="3" t="s">
        <v>18</v>
      </c>
      <c r="D8" s="27">
        <v>7</v>
      </c>
      <c r="E8" s="117">
        <v>41.12</v>
      </c>
      <c r="F8" s="28">
        <f>(42.16+41.81+41.94+42.06+41.4+41.66+41.45+41.74+41.37+41.32+41.21+41.81+42.46+42.21+41.65+41.56+41.61+41.12+41.2+41.24+41.37+41.29+41.21+41.14+41.26+41.31+41.33+41.15+41.45+41.41+41.76+41.46+41.26+41.13+41.37+41.32+41.6+41.43+41.25+41.19+41.29+41.46+41.6+41.39+41.57+41.23+41.36)/47</f>
        <v>41.480212765957447</v>
      </c>
      <c r="G8" s="3">
        <v>123</v>
      </c>
      <c r="H8" s="3">
        <f t="shared" ref="H8:H12" si="2">G8-G7</f>
        <v>48</v>
      </c>
      <c r="I8" s="23">
        <v>6.2094907407407411E-2</v>
      </c>
      <c r="J8" s="23">
        <f t="shared" si="0"/>
        <v>2.3819444444444449E-2</v>
      </c>
      <c r="K8" s="24">
        <f>J8</f>
        <v>2.3819444444444449E-2</v>
      </c>
      <c r="L8" s="113">
        <f t="shared" si="1"/>
        <v>0.36021276595744922</v>
      </c>
      <c r="M8" s="86"/>
    </row>
    <row r="9" spans="1:14" s="2" customFormat="1" ht="30" customHeight="1" thickBot="1">
      <c r="A9" s="419"/>
      <c r="B9" s="5">
        <v>4</v>
      </c>
      <c r="C9" s="3" t="s">
        <v>131</v>
      </c>
      <c r="D9" s="27">
        <v>15</v>
      </c>
      <c r="E9" s="3">
        <v>41.62</v>
      </c>
      <c r="F9" s="28">
        <f>(42.69+41.97+42.09+42.22+41.91+41.8+41.89+42+42.16+41.85+41.62+41.91+41.98+41.96+42.67+42.05+41.89+42.17+42.57+42.36+41.97+42.19+42.18+42.02+41.73)/25</f>
        <v>42.073999999999998</v>
      </c>
      <c r="G9" s="3">
        <v>149</v>
      </c>
      <c r="H9" s="3">
        <f t="shared" si="2"/>
        <v>26</v>
      </c>
      <c r="I9" s="23">
        <v>7.554398148148149E-2</v>
      </c>
      <c r="J9" s="23">
        <f t="shared" si="0"/>
        <v>1.3449074074074079E-2</v>
      </c>
      <c r="K9" s="26">
        <f>K7+J9</f>
        <v>5.1724537037037041E-2</v>
      </c>
      <c r="L9" s="32">
        <f t="shared" si="1"/>
        <v>0.45400000000000063</v>
      </c>
      <c r="M9" s="86"/>
    </row>
    <row r="10" spans="1:14" s="2" customFormat="1" ht="30" customHeight="1" thickBot="1">
      <c r="A10" s="419"/>
      <c r="B10" s="5">
        <v>5</v>
      </c>
      <c r="C10" s="3" t="s">
        <v>18</v>
      </c>
      <c r="D10" s="27">
        <v>7</v>
      </c>
      <c r="E10" s="33">
        <v>40.98</v>
      </c>
      <c r="F10" s="28">
        <f>(41.89+41.59+41.34+41.39+42.22+41.51+41.48+41.3+41.3+41.65+41.36+41.28+41.36+41.16+41.37+41.3+41.42+41.29+41.28+41.04+41.04+41.31+41.23+41.38+41.3+41.34+41.22+41.64+43.93+41.62+40.98+41.21+41.05+41.04+41.13+41.07+41.01+41.3+41.26+41.21+41.34+41.62+41.71+41.6+41.77+41.21+41.4+41.07+41.28+41.09+41+41.21+41.44+41.41+41.25+41.26+41.47+41.41+41.49+41.31)/60</f>
        <v>41.385666666666658</v>
      </c>
      <c r="G10" s="3">
        <v>210</v>
      </c>
      <c r="H10" s="3">
        <f t="shared" si="2"/>
        <v>61</v>
      </c>
      <c r="I10" s="23">
        <v>0.10565972222222221</v>
      </c>
      <c r="J10" s="23">
        <f t="shared" si="0"/>
        <v>3.0115740740740721E-2</v>
      </c>
      <c r="K10" s="26">
        <f>K8+J10</f>
        <v>5.3935185185185169E-2</v>
      </c>
      <c r="L10" s="32">
        <f t="shared" si="1"/>
        <v>0.40566666666666151</v>
      </c>
      <c r="M10" s="86"/>
    </row>
    <row r="11" spans="1:14" s="2" customFormat="1" ht="30" customHeight="1">
      <c r="A11" s="419"/>
      <c r="B11" s="5">
        <v>6</v>
      </c>
      <c r="C11" s="3" t="s">
        <v>131</v>
      </c>
      <c r="D11" s="27">
        <v>6</v>
      </c>
      <c r="E11" s="103">
        <v>41.57</v>
      </c>
      <c r="F11" s="121">
        <f>(42.4+42.44+41.7+42.3+42.51+41.98+41.84+41.68+41.78+41.88+41.57+42.06+41.89+41.97+41.76+41.62)/16</f>
        <v>41.96125</v>
      </c>
      <c r="G11" s="3">
        <v>229</v>
      </c>
      <c r="H11" s="3">
        <f t="shared" si="2"/>
        <v>19</v>
      </c>
      <c r="I11" s="23">
        <v>0.11651620370370371</v>
      </c>
      <c r="J11" s="23">
        <f t="shared" si="0"/>
        <v>1.0856481481481495E-2</v>
      </c>
      <c r="K11" s="26">
        <f>K9+J11</f>
        <v>6.2581018518518536E-2</v>
      </c>
      <c r="L11" s="32">
        <f t="shared" si="1"/>
        <v>0.39124999999999943</v>
      </c>
      <c r="M11" s="86"/>
    </row>
    <row r="12" spans="1:14" s="2" customFormat="1" ht="30" customHeight="1">
      <c r="A12" s="419"/>
      <c r="B12" s="5">
        <v>7</v>
      </c>
      <c r="C12" s="3" t="s">
        <v>18</v>
      </c>
      <c r="D12" s="27">
        <v>88</v>
      </c>
      <c r="E12" s="88">
        <v>41.26</v>
      </c>
      <c r="F12" s="92">
        <f>(42.27+41.73+41.46+41.48+41.52+41.46+41.49+41.43+41.29+41.41+41.31+41.43+41.55+41.62+41.36+41.64+41.84+41.67+41.96+41.85+41.93+41.35+41.63+41.39+41.64+41.26+41.53+41.41+41.34+41.45+41.27+41.34+41.42+41.83+41.6+41.85+41.79+41.54+41.5+41.91+41.6+42.04+41.68+41.65+41.53+41.83+41.84+44.9+42.02+41.81+54.75+64.16+62.1+61.94+62.33+61.46+62.02+59.98+59.82)/59</f>
        <v>44.613728813559312</v>
      </c>
      <c r="G12" s="3">
        <v>290</v>
      </c>
      <c r="H12" s="3">
        <f t="shared" si="2"/>
        <v>61</v>
      </c>
      <c r="I12" s="23">
        <v>0.14998842592592593</v>
      </c>
      <c r="J12" s="23">
        <f>I12-I11</f>
        <v>3.3472222222222223E-2</v>
      </c>
      <c r="K12" s="25">
        <f>K10+J12</f>
        <v>8.7407407407407392E-2</v>
      </c>
      <c r="L12" s="32">
        <f t="shared" si="1"/>
        <v>3.3537288135593144</v>
      </c>
      <c r="M12" s="100">
        <f>AVERAGE(L8,L10,L12)</f>
        <v>1.3732027487278085</v>
      </c>
      <c r="N12" s="2" t="s">
        <v>74</v>
      </c>
    </row>
    <row r="13" spans="1:14" s="2" customFormat="1" ht="30" customHeight="1" thickBot="1">
      <c r="A13" s="419"/>
      <c r="B13" s="102" t="s">
        <v>13</v>
      </c>
      <c r="C13" s="6" t="s">
        <v>131</v>
      </c>
      <c r="D13" s="6">
        <v>9</v>
      </c>
      <c r="E13" s="95">
        <v>41.91</v>
      </c>
      <c r="F13" s="104">
        <f>(48.3+44.28+43.48+42.55+42.62+42.51+42.54+42.34+42.25+41.91+42.12+43.49+53.41+56.34+55.97+61.72+63.47+64.17+63.52+63.81+65.28+63.65+65.02+63.87+65.58+62.02+61.85)/27</f>
        <v>53.632222222222211</v>
      </c>
      <c r="G13" s="34">
        <v>318</v>
      </c>
      <c r="H13" s="34">
        <f>G13-G12</f>
        <v>28</v>
      </c>
      <c r="I13" s="35">
        <v>0.16668981481481482</v>
      </c>
      <c r="J13" s="35">
        <f>I13-I12</f>
        <v>1.6701388888888891E-2</v>
      </c>
      <c r="K13" s="96">
        <f>K11+J13</f>
        <v>7.9282407407407426E-2</v>
      </c>
      <c r="L13" s="91">
        <f t="shared" si="1"/>
        <v>11.722222222222214</v>
      </c>
      <c r="M13" s="101">
        <f>AVERAGE(L6,L7,L9,L11,L13)</f>
        <v>2.6687067206592743</v>
      </c>
      <c r="N13" s="2" t="s">
        <v>30</v>
      </c>
    </row>
    <row r="14" spans="1:14" ht="16.5" thickBot="1">
      <c r="A14" s="420"/>
      <c r="B14" s="434"/>
      <c r="C14" s="435"/>
      <c r="D14" s="436"/>
      <c r="E14" s="105">
        <f>AVERAGE(E6:E13)</f>
        <v>41.392499999999998</v>
      </c>
      <c r="F14" s="106">
        <f>AVERAGE(F6:F13)</f>
        <v>43.575392731184976</v>
      </c>
      <c r="G14" s="12"/>
      <c r="H14" s="12"/>
      <c r="I14" s="12"/>
      <c r="J14" s="12"/>
      <c r="K14" s="12"/>
      <c r="L14" s="12"/>
      <c r="M14" s="12"/>
    </row>
    <row r="16" spans="1:14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7"/>
  <sheetViews>
    <sheetView zoomScale="90" zoomScaleNormal="90" workbookViewId="0">
      <selection activeCell="H6" sqref="H6:H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20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20" ht="10.5" customHeight="1"/>
    <row r="3" spans="1:20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20" s="1" customFormat="1" ht="25.5" customHeight="1">
      <c r="A4" s="311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07" t="s">
        <v>14</v>
      </c>
      <c r="K4" s="442"/>
      <c r="L4" s="307" t="s">
        <v>148</v>
      </c>
      <c r="M4" s="437"/>
      <c r="N4" s="44"/>
    </row>
    <row r="5" spans="1:20" s="1" customFormat="1" ht="22.5" customHeight="1" thickBot="1">
      <c r="A5" s="313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20" s="2" customFormat="1" ht="30" customHeight="1" thickBot="1">
      <c r="A6" s="418" t="s">
        <v>117</v>
      </c>
      <c r="B6" s="39">
        <v>1</v>
      </c>
      <c r="C6" s="80" t="s">
        <v>122</v>
      </c>
      <c r="D6" s="81">
        <v>10</v>
      </c>
      <c r="E6" s="123">
        <v>41.58</v>
      </c>
      <c r="F6" s="122">
        <f>(42.56+42.16+43.53+42.12+41.83+41.92+41.99+41.98+41.85+41.81+41.58+41.92+41.71+41.82+43.57+42.85+41.82+41.65+41.7)/19</f>
        <v>42.124736842105278</v>
      </c>
      <c r="G6" s="80">
        <v>19</v>
      </c>
      <c r="H6" s="80">
        <f>G6-0</f>
        <v>19</v>
      </c>
      <c r="I6" s="83">
        <v>1.0567129629629629E-2</v>
      </c>
      <c r="J6" s="83">
        <f>I6</f>
        <v>1.0567129629629629E-2</v>
      </c>
      <c r="K6" s="84">
        <f>J6</f>
        <v>1.0567129629629629E-2</v>
      </c>
      <c r="L6" s="99">
        <f>F6-E6</f>
        <v>0.54473684210528006</v>
      </c>
      <c r="M6" s="85"/>
    </row>
    <row r="7" spans="1:20" s="2" customFormat="1" ht="30" customHeight="1" thickBot="1">
      <c r="A7" s="419"/>
      <c r="B7" s="5">
        <v>2</v>
      </c>
      <c r="C7" s="30" t="s">
        <v>118</v>
      </c>
      <c r="D7" s="27">
        <v>9</v>
      </c>
      <c r="E7" s="33">
        <v>41.27</v>
      </c>
      <c r="F7" s="121">
        <f>(42.45+41.42+41.48+41.65+41.41+41.89+41.98+41.49+41.37+41.42+41.68+41.35+41.62+41.82+41.68+41.51+41.27+41.47+41.68+41.39+41.96+41.89+41.43+41.66+41.51+41.57+41.46+41.52+41.56+41.65+41.49+41.59+41.61+41.67+41.65+41.66+41.59+41.61+41.76+41.43+42.86+41.85+41.99+42+42.02+41.67+41.75+42.03+41.69+42.09+41.69+41.81+41.72+41.54+41.66)/55</f>
        <v>41.68490909090908</v>
      </c>
      <c r="G7" s="3">
        <v>75</v>
      </c>
      <c r="H7" s="3">
        <f>G7-G6</f>
        <v>56</v>
      </c>
      <c r="I7" s="23">
        <v>3.8356481481481484E-2</v>
      </c>
      <c r="J7" s="23">
        <f>I7-I6</f>
        <v>2.7789351851851857E-2</v>
      </c>
      <c r="K7" s="24">
        <f>J7</f>
        <v>2.7789351851851857E-2</v>
      </c>
      <c r="L7" s="32">
        <f t="shared" ref="L7:L13" si="0">F7-E7</f>
        <v>0.41490909090907735</v>
      </c>
      <c r="M7" s="86"/>
    </row>
    <row r="8" spans="1:20" s="2" customFormat="1" ht="30" customHeight="1">
      <c r="A8" s="419"/>
      <c r="B8" s="5">
        <v>3</v>
      </c>
      <c r="C8" s="3" t="s">
        <v>122</v>
      </c>
      <c r="D8" s="27">
        <v>1</v>
      </c>
      <c r="E8" s="117">
        <v>41.31</v>
      </c>
      <c r="F8" s="28">
        <f>(42.81+41.9+41.9+41.71+41.84+41.54+58.51+42.2+41.4+41.46+41.39+41.4+41.77+41.61+41.58+41.6+41.6+41.57+41.51+41.37+41.79+41.77+41.59+41.48+41.78+41.39+41.82+41.6+41.62+41.56+41.56+41.76+41.49+41.53+42.13+41.52+41.31+41.76+41.77+41.69+41.74+41.63+41.44+41.75+41.5+41.74+41.4+41.59+41.95+41.68+41.52+41.71+41.44)/53</f>
        <v>41.975094339622636</v>
      </c>
      <c r="G8" s="3">
        <v>129</v>
      </c>
      <c r="H8" s="3">
        <f t="shared" ref="H8:H12" si="1">G8-G7</f>
        <v>54</v>
      </c>
      <c r="I8" s="23">
        <v>6.5358796296296304E-2</v>
      </c>
      <c r="J8" s="23">
        <f>I8-I7</f>
        <v>2.7002314814814819E-2</v>
      </c>
      <c r="K8" s="24">
        <f>J8+J6</f>
        <v>3.7569444444444447E-2</v>
      </c>
      <c r="L8" s="32">
        <f t="shared" si="0"/>
        <v>0.66509433962263387</v>
      </c>
      <c r="M8" s="86"/>
    </row>
    <row r="9" spans="1:20" s="2" customFormat="1" ht="30" customHeight="1">
      <c r="A9" s="419"/>
      <c r="B9" s="5">
        <v>4</v>
      </c>
      <c r="C9" s="3" t="s">
        <v>118</v>
      </c>
      <c r="D9" s="27">
        <v>10</v>
      </c>
      <c r="E9" s="3">
        <v>41.72</v>
      </c>
      <c r="F9" s="28">
        <f>(42.58+42.26+42.03+41.9+42.22+42.09+42.16+42.01+41.97+42.01+41.88+42.15+42.23+42.12+42.11+42.07+42.38+42.12+42.17+42.38+42.04+42.05+42.07+41.98+41.88+42+42.01+41.82+42.33+41.83+42.29+41.79+42.86+41.93+41.92+41.86+41.87+46.24+41.93+41.78+41.72+41.75+42.12+42.47)/44</f>
        <v>42.167727272727262</v>
      </c>
      <c r="G9" s="3">
        <v>174</v>
      </c>
      <c r="H9" s="3">
        <f t="shared" si="1"/>
        <v>45</v>
      </c>
      <c r="I9" s="23">
        <v>8.8101851851851862E-2</v>
      </c>
      <c r="J9" s="23">
        <f t="shared" ref="J9:J12" si="2">I9-I8</f>
        <v>2.2743055555555558E-2</v>
      </c>
      <c r="K9" s="26">
        <f>J9+J7</f>
        <v>5.0532407407407415E-2</v>
      </c>
      <c r="L9" s="32">
        <f t="shared" si="0"/>
        <v>0.44772727272726343</v>
      </c>
      <c r="M9" s="86"/>
    </row>
    <row r="10" spans="1:20" s="2" customFormat="1" ht="30" customHeight="1">
      <c r="A10" s="419"/>
      <c r="B10" s="5">
        <v>5</v>
      </c>
      <c r="C10" s="3" t="s">
        <v>122</v>
      </c>
      <c r="D10" s="27">
        <v>9</v>
      </c>
      <c r="E10" s="110">
        <v>41.33</v>
      </c>
      <c r="F10" s="28">
        <f>(42.34+41.56+41.7+41.64+41.63+41.58+41.77+41.65+41.42+41.69+41.65+41.68+41.62+41.54+41.43+41.77+41.48+41.52+41.56+41.7+41.6+41.47+41.44+41.33+41.48+41.61+41.6+41.56+41.79+42.44+41.69+41.74+41.57+41.76)/34</f>
        <v>41.647352941176457</v>
      </c>
      <c r="G10" s="3">
        <v>209</v>
      </c>
      <c r="H10" s="3">
        <f t="shared" si="1"/>
        <v>35</v>
      </c>
      <c r="I10" s="23">
        <v>0.10574074074074075</v>
      </c>
      <c r="J10" s="23">
        <f t="shared" si="2"/>
        <v>1.7638888888888885E-2</v>
      </c>
      <c r="K10" s="26">
        <f>J10+K8</f>
        <v>5.5208333333333331E-2</v>
      </c>
      <c r="L10" s="89">
        <f t="shared" si="0"/>
        <v>0.31735294117645907</v>
      </c>
      <c r="M10" s="86"/>
    </row>
    <row r="11" spans="1:20" s="2" customFormat="1" ht="30" customHeight="1">
      <c r="A11" s="419"/>
      <c r="B11" s="5">
        <v>6</v>
      </c>
      <c r="C11" s="3" t="s">
        <v>118</v>
      </c>
      <c r="D11" s="27">
        <v>2</v>
      </c>
      <c r="E11" s="103">
        <v>41.46</v>
      </c>
      <c r="F11" s="121">
        <f>(43.23+42.39+41.64+41.97+41.67+41.95+41.95+41.88+41.87+42.23+41.69+41.84+41.7+41.62+41.83+41.7+41.59+41.59+42.03+41.91+41.56+41.94+41.67+41.87+41.83+41.76+42.31+41.73+42.15+42.09+41.8+41.65+41.46+41.46+41.64+41.69+41.75+41.73+41.98+41.74+41.55+41.88+42.22+41.8+41.69+41.6+41.95+41.5+41.61+41.88+42.47+41.59+41.92+42.03+41.97+41.98+41.74+41.59+41.68+41.73+41.77+41.77+41.62+42.96+41.7+41.6+41.7)/67</f>
        <v>41.844626865671636</v>
      </c>
      <c r="G11" s="3">
        <v>277</v>
      </c>
      <c r="H11" s="3">
        <f t="shared" si="1"/>
        <v>68</v>
      </c>
      <c r="I11" s="23">
        <v>0.13943287037037036</v>
      </c>
      <c r="J11" s="23">
        <f t="shared" si="2"/>
        <v>3.3692129629629614E-2</v>
      </c>
      <c r="K11" s="25">
        <f>J11+K9</f>
        <v>8.4224537037037028E-2</v>
      </c>
      <c r="L11" s="113">
        <f t="shared" si="0"/>
        <v>0.38462686567163473</v>
      </c>
      <c r="M11" s="86"/>
      <c r="O11" s="29"/>
      <c r="P11" s="29"/>
      <c r="Q11" s="29"/>
      <c r="R11" s="29"/>
      <c r="S11" s="29"/>
      <c r="T11" s="29"/>
    </row>
    <row r="12" spans="1:20" s="2" customFormat="1" ht="30" customHeight="1">
      <c r="A12" s="419"/>
      <c r="B12" s="5">
        <v>7</v>
      </c>
      <c r="C12" s="3" t="s">
        <v>122</v>
      </c>
      <c r="D12" s="27">
        <v>7</v>
      </c>
      <c r="E12" s="88">
        <v>41.89</v>
      </c>
      <c r="F12" s="92">
        <f>(43.96+42.16+56.04+61.81+61.76+66.9+61.59+61.86+55.05+52.62+50.14+47.39+45.9+44.63+43.31+43.05+42.46+42.07+42.12+42.09+42.09+41.89+41.98)/23</f>
        <v>49.255217391304356</v>
      </c>
      <c r="G12" s="3">
        <v>302</v>
      </c>
      <c r="H12" s="3">
        <f t="shared" si="1"/>
        <v>25</v>
      </c>
      <c r="I12" s="23">
        <v>0.15631944444444446</v>
      </c>
      <c r="J12" s="23">
        <f t="shared" si="2"/>
        <v>1.6886574074074095E-2</v>
      </c>
      <c r="K12" s="26">
        <f>J12+K10</f>
        <v>7.2094907407407427E-2</v>
      </c>
      <c r="L12" s="32">
        <f t="shared" si="0"/>
        <v>7.3652173913043555</v>
      </c>
      <c r="M12" s="100">
        <f>AVERAGE(L6,L8,L10,L12,L13)</f>
        <v>3.3879469695084126</v>
      </c>
      <c r="N12" s="2" t="s">
        <v>136</v>
      </c>
    </row>
    <row r="13" spans="1:20" s="2" customFormat="1" ht="30" customHeight="1" thickBot="1">
      <c r="A13" s="419"/>
      <c r="B13" s="102" t="s">
        <v>13</v>
      </c>
      <c r="C13" s="6" t="s">
        <v>122</v>
      </c>
      <c r="D13" s="6">
        <v>11</v>
      </c>
      <c r="E13" s="95">
        <v>52.85</v>
      </c>
      <c r="F13" s="104">
        <f>(55.52+52.85+57.97+61.32+61.77+62.89+63.88+62.57+62.67+62.57+62.08+62.38+61.63+62.06+61.3)/15</f>
        <v>60.897333333333336</v>
      </c>
      <c r="G13" s="34">
        <v>318</v>
      </c>
      <c r="H13" s="34">
        <f>G13-G12</f>
        <v>16</v>
      </c>
      <c r="I13" s="35">
        <v>0.16668981481481482</v>
      </c>
      <c r="J13" s="35">
        <f>I13-I12</f>
        <v>1.0370370370370363E-2</v>
      </c>
      <c r="K13" s="96">
        <f>J13+K12</f>
        <v>8.246527777777779E-2</v>
      </c>
      <c r="L13" s="91">
        <f t="shared" si="0"/>
        <v>8.0473333333333343</v>
      </c>
      <c r="M13" s="101">
        <f>AVERAGE(L7,L9,L11)</f>
        <v>0.41575440976932515</v>
      </c>
      <c r="N13" s="2" t="s">
        <v>81</v>
      </c>
    </row>
    <row r="14" spans="1:20" ht="16.5" thickBot="1">
      <c r="A14" s="420"/>
      <c r="B14" s="434"/>
      <c r="C14" s="435"/>
      <c r="D14" s="436"/>
      <c r="E14" s="105">
        <f>AVERAGE(E6:E13)</f>
        <v>42.926250000000003</v>
      </c>
      <c r="F14" s="106">
        <f>AVERAGE(F6:F13)</f>
        <v>45.199624759606259</v>
      </c>
      <c r="G14" s="12"/>
      <c r="H14" s="12"/>
      <c r="I14" s="12"/>
      <c r="J14" s="12"/>
      <c r="K14" s="12"/>
      <c r="L14" s="12"/>
      <c r="M14" s="12"/>
    </row>
    <row r="16" spans="1:20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H6" sqref="H6:H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311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07" t="s">
        <v>14</v>
      </c>
      <c r="K4" s="442"/>
      <c r="L4" s="307" t="s">
        <v>148</v>
      </c>
      <c r="M4" s="437"/>
      <c r="N4" s="44"/>
    </row>
    <row r="5" spans="1:14" s="1" customFormat="1" ht="22.5" customHeight="1" thickBot="1">
      <c r="A5" s="313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14" s="2" customFormat="1" ht="30" customHeight="1">
      <c r="A6" s="418" t="s">
        <v>67</v>
      </c>
      <c r="B6" s="39">
        <v>1</v>
      </c>
      <c r="C6" s="80" t="s">
        <v>24</v>
      </c>
      <c r="D6" s="81">
        <v>15</v>
      </c>
      <c r="E6" s="123">
        <v>41.67</v>
      </c>
      <c r="F6" s="122">
        <f>(42.89+41.9+43.81+43.23+42.95+42.14+42.15+42.35+41.7+42.19+41.93+41.83+42.16+42.29+43.12+41.68+41.8+41.99+41.9+42.16+42.1+41.67+41.95)/23</f>
        <v>42.256086956521727</v>
      </c>
      <c r="G6" s="80">
        <v>24</v>
      </c>
      <c r="H6" s="80">
        <f>G6-0</f>
        <v>24</v>
      </c>
      <c r="I6" s="83">
        <v>1.3819444444444445E-2</v>
      </c>
      <c r="J6" s="83">
        <f>I6</f>
        <v>1.3819444444444445E-2</v>
      </c>
      <c r="K6" s="84">
        <f>J6</f>
        <v>1.3819444444444445E-2</v>
      </c>
      <c r="L6" s="99">
        <f>F6-E6</f>
        <v>0.58608695652172571</v>
      </c>
      <c r="M6" s="85"/>
    </row>
    <row r="7" spans="1:14" s="2" customFormat="1" ht="30" customHeight="1">
      <c r="A7" s="419"/>
      <c r="B7" s="5">
        <v>2</v>
      </c>
      <c r="C7" s="30" t="s">
        <v>25</v>
      </c>
      <c r="D7" s="27">
        <v>88</v>
      </c>
      <c r="E7" s="3">
        <v>41.64</v>
      </c>
      <c r="F7" s="121">
        <f>(43.76+41.85+41.66+41.67+41.74+42.04+42.12+41.74+41.7+41.89+41.73+41.74+41.89+41.86+42.02+41.94+41.78+41.87+41.79+41.8+42.18+41.82+41.72+42.09+41.94+41.95+41.84+41.83+42.55+41.74+41.64+41.75+41.88+55.98+41.98+42.16+42.03+41.96+42.29+42.23+41.98+42.01+42.06+42.18+42.22+42.57+41.95+41.99+42.24+42.16+42.37+42.04+41.92)/53</f>
        <v>42.261132075471693</v>
      </c>
      <c r="G7" s="3">
        <v>78</v>
      </c>
      <c r="H7" s="3">
        <f>G7-G6</f>
        <v>54</v>
      </c>
      <c r="I7" s="23">
        <v>4.1018518518518517E-2</v>
      </c>
      <c r="J7" s="23">
        <f>I7-I6</f>
        <v>2.719907407407407E-2</v>
      </c>
      <c r="K7" s="24">
        <f>J7</f>
        <v>2.719907407407407E-2</v>
      </c>
      <c r="L7" s="32">
        <f t="shared" ref="L7:L13" si="0">F7-E7</f>
        <v>0.62113207547169225</v>
      </c>
      <c r="M7" s="86"/>
    </row>
    <row r="8" spans="1:14" s="2" customFormat="1" ht="30" customHeight="1">
      <c r="A8" s="419"/>
      <c r="B8" s="5">
        <v>3</v>
      </c>
      <c r="C8" s="3" t="s">
        <v>24</v>
      </c>
      <c r="D8" s="27">
        <v>2</v>
      </c>
      <c r="E8" s="124">
        <v>41.61</v>
      </c>
      <c r="F8" s="28">
        <f>(42.89+42.03+41.9+42.06+41.8+41.77+41.78+41.96+41.92+41.94+42.08+41.84+41.92+42.98+41.66+41.61+41.7+41.97+41.74+41.7+41.9+41.92+42.1+41.96+41.88+41.92+41.81+41.96+42.46+42.85+41.68+42.02+41.9+42.02+41.91+41.88+41.95+42.58+41.93+41.73+41.87+41.71+41.78+41.84+42.47+42.01+42.17+41.87+41.96+41.9+41.95+41.69+41.93+41.81+42.03+42.23+42.53+41.98+41.68+42.02+41.83+41.72+41.98+41.86+41.83+41.92+41.81+42)/68</f>
        <v>41.970441176470594</v>
      </c>
      <c r="G8" s="3">
        <v>147</v>
      </c>
      <c r="H8" s="3">
        <f t="shared" ref="H8:H12" si="1">G8-G7</f>
        <v>69</v>
      </c>
      <c r="I8" s="23">
        <v>7.5312500000000004E-2</v>
      </c>
      <c r="J8" s="23">
        <f>I8-I7</f>
        <v>3.4293981481481488E-2</v>
      </c>
      <c r="K8" s="24">
        <f>J8+J6</f>
        <v>4.8113425925925934E-2</v>
      </c>
      <c r="L8" s="32">
        <f t="shared" si="0"/>
        <v>0.36044117647059437</v>
      </c>
      <c r="M8" s="86"/>
    </row>
    <row r="9" spans="1:14" s="2" customFormat="1" ht="30" customHeight="1">
      <c r="A9" s="419"/>
      <c r="B9" s="5">
        <v>4</v>
      </c>
      <c r="C9" s="3" t="s">
        <v>25</v>
      </c>
      <c r="D9" s="27">
        <v>6</v>
      </c>
      <c r="E9" s="3">
        <v>41.74</v>
      </c>
      <c r="F9" s="28">
        <f>(43.58+42.39+42.25+42.71+42.1+42.78+42.17+41.95+41.93+41.82+41.94+42.06+41.99+42.12+41.98+41.96+42.13+41.96+41.96+41.84+42.21+41.89+41.74+41.82)/24</f>
        <v>42.136666666666677</v>
      </c>
      <c r="G9" s="3">
        <v>172</v>
      </c>
      <c r="H9" s="3">
        <f t="shared" si="1"/>
        <v>25</v>
      </c>
      <c r="I9" s="23">
        <v>8.8287037037037039E-2</v>
      </c>
      <c r="J9" s="23">
        <f t="shared" ref="J9:J12" si="2">I9-I8</f>
        <v>1.2974537037037034E-2</v>
      </c>
      <c r="K9" s="26">
        <f>J9+J7</f>
        <v>4.0173611111111104E-2</v>
      </c>
      <c r="L9" s="113">
        <f t="shared" si="0"/>
        <v>0.39666666666667538</v>
      </c>
      <c r="M9" s="86"/>
    </row>
    <row r="10" spans="1:14" s="2" customFormat="1" ht="30" customHeight="1" thickBot="1">
      <c r="A10" s="419"/>
      <c r="B10" s="5">
        <v>5</v>
      </c>
      <c r="C10" s="3" t="s">
        <v>24</v>
      </c>
      <c r="D10" s="27">
        <v>5</v>
      </c>
      <c r="E10" s="88">
        <v>41.66</v>
      </c>
      <c r="F10" s="28">
        <f>(42.75+42.42+42.09+42.3+42.17+41.9+41.85+41.71+42.01+41.88+41.91+42.05+41.71+41.87+41.72+42.03+41.93+41.81+41.84+41.8+41.87+41.8+42.47+41.7+42.2+41.8+41.87+41.79+41.91+42.62+42.77+41.8+42+42.01+41.88+41.89+42.33+41.94+41.96+42.32+41.98+41.66)/42</f>
        <v>42.007619047619045</v>
      </c>
      <c r="G10" s="3">
        <v>215</v>
      </c>
      <c r="H10" s="3">
        <f t="shared" si="1"/>
        <v>43</v>
      </c>
      <c r="I10" s="23">
        <v>0.10996527777777777</v>
      </c>
      <c r="J10" s="23">
        <f t="shared" si="2"/>
        <v>2.1678240740740734E-2</v>
      </c>
      <c r="K10" s="26">
        <f>J10+K8</f>
        <v>6.9791666666666669E-2</v>
      </c>
      <c r="L10" s="89">
        <f t="shared" si="0"/>
        <v>0.34761904761904816</v>
      </c>
      <c r="M10" s="86"/>
    </row>
    <row r="11" spans="1:14" s="2" customFormat="1" ht="30" customHeight="1" thickBot="1">
      <c r="A11" s="419"/>
      <c r="B11" s="5">
        <v>6</v>
      </c>
      <c r="C11" s="3" t="s">
        <v>25</v>
      </c>
      <c r="D11" s="27">
        <v>1</v>
      </c>
      <c r="E11" s="33">
        <v>41.39</v>
      </c>
      <c r="F11" s="121">
        <f>(42.14+41.54+41.45+41.5+41.51+41.66+42.53+41.77+41.39+41.87+41.65+43.22+41.44+41.57+41.47+42.28+41.61+41.54+41.85+43.31+43.6+42.28+42.29+41.81+41.82+42.17+41.93+41.73+42.06+42.14+42.09+41.78+42.12+43.16+42.1+41.99+41.88+41.65+42.76+42.03+41.73+41.86+42.17+42.62+42.26+42.1+43.22+42.04+42.23+43+42.98+42.9+42.2+42.08+42.02+42.36+42.73+45.1+42.6)/59</f>
        <v>42.18457627118643</v>
      </c>
      <c r="G11" s="3">
        <v>276</v>
      </c>
      <c r="H11" s="3">
        <f t="shared" si="1"/>
        <v>61</v>
      </c>
      <c r="I11" s="23">
        <v>0.14167824074074073</v>
      </c>
      <c r="J11" s="23">
        <f t="shared" si="2"/>
        <v>3.1712962962962957E-2</v>
      </c>
      <c r="K11" s="26">
        <f>J11+K9</f>
        <v>7.1886574074074061E-2</v>
      </c>
      <c r="L11" s="32">
        <f t="shared" si="0"/>
        <v>0.79457627118642904</v>
      </c>
      <c r="M11" s="86"/>
    </row>
    <row r="12" spans="1:14" s="2" customFormat="1" ht="30" customHeight="1">
      <c r="A12" s="419"/>
      <c r="B12" s="5">
        <v>7</v>
      </c>
      <c r="C12" s="3" t="s">
        <v>24</v>
      </c>
      <c r="D12" s="27">
        <v>13</v>
      </c>
      <c r="E12" s="88">
        <v>41.97</v>
      </c>
      <c r="F12" s="92">
        <f>(61.89+63.07+65.77+62.31+63.49+60.86+75.88+58.14+53.59+50.22+47.87+46.83+45.31+43.99+43.48+44.42+42.44+42.47+42.2+42.02+42.84+41.97)/22</f>
        <v>51.866363636363637</v>
      </c>
      <c r="G12" s="3">
        <v>299</v>
      </c>
      <c r="H12" s="3">
        <f t="shared" si="1"/>
        <v>23</v>
      </c>
      <c r="I12" s="23">
        <v>0.15614583333333334</v>
      </c>
      <c r="J12" s="23">
        <f t="shared" si="2"/>
        <v>1.4467592592592615E-2</v>
      </c>
      <c r="K12" s="25">
        <f>J12+K10</f>
        <v>8.4259259259259284E-2</v>
      </c>
      <c r="L12" s="32">
        <f t="shared" si="0"/>
        <v>9.8963636363636382</v>
      </c>
      <c r="M12" s="100">
        <f>AVERAGE(L6,L8,L10,L12)</f>
        <v>2.7976277042437516</v>
      </c>
      <c r="N12" s="2" t="s">
        <v>76</v>
      </c>
    </row>
    <row r="13" spans="1:14" s="2" customFormat="1" ht="30" customHeight="1" thickBot="1">
      <c r="A13" s="419"/>
      <c r="B13" s="102" t="s">
        <v>13</v>
      </c>
      <c r="C13" s="6" t="s">
        <v>25</v>
      </c>
      <c r="D13" s="6">
        <v>6</v>
      </c>
      <c r="E13" s="95">
        <v>51.15</v>
      </c>
      <c r="F13" s="104">
        <f>(55.76+51.15+55.27+68.77+60.83+60.85+60.43+60.78+61.23+62.87+75.25+60.79+67.43+61+60.48)/15</f>
        <v>61.526000000000003</v>
      </c>
      <c r="G13" s="34">
        <v>315</v>
      </c>
      <c r="H13" s="34">
        <f>G13-G12</f>
        <v>16</v>
      </c>
      <c r="I13" s="35">
        <v>0.16668981481481482</v>
      </c>
      <c r="J13" s="35">
        <f>I13-I12</f>
        <v>1.0543981481481474E-2</v>
      </c>
      <c r="K13" s="96">
        <f>J13+K11</f>
        <v>8.2430555555555535E-2</v>
      </c>
      <c r="L13" s="91">
        <f t="shared" si="0"/>
        <v>10.376000000000005</v>
      </c>
      <c r="M13" s="101">
        <f>AVERAGE(L7,L9,L11,L13)</f>
        <v>3.0470937533312004</v>
      </c>
      <c r="N13" s="2" t="s">
        <v>86</v>
      </c>
    </row>
    <row r="14" spans="1:14" ht="16.5" thickBot="1">
      <c r="A14" s="420"/>
      <c r="B14" s="434"/>
      <c r="C14" s="435"/>
      <c r="D14" s="436"/>
      <c r="E14" s="105">
        <f>AVERAGE(E6:E13)</f>
        <v>42.853749999999991</v>
      </c>
      <c r="F14" s="106">
        <f>AVERAGE(F6:F13)</f>
        <v>45.776110728787479</v>
      </c>
      <c r="G14" s="12"/>
      <c r="H14" s="12"/>
      <c r="I14" s="12"/>
      <c r="J14" s="12"/>
      <c r="K14" s="12"/>
      <c r="L14" s="12"/>
      <c r="M14" s="12"/>
    </row>
    <row r="16" spans="1:14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H6" sqref="H6:H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311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07" t="s">
        <v>14</v>
      </c>
      <c r="K4" s="442"/>
      <c r="L4" s="307" t="s">
        <v>148</v>
      </c>
      <c r="M4" s="437"/>
      <c r="N4" s="44"/>
    </row>
    <row r="5" spans="1:14" s="1" customFormat="1" ht="22.5" customHeight="1" thickBot="1">
      <c r="A5" s="313"/>
      <c r="B5" s="438"/>
      <c r="C5" s="433"/>
      <c r="D5" s="440"/>
      <c r="E5" s="441"/>
      <c r="F5" s="441"/>
      <c r="G5" s="433"/>
      <c r="H5" s="433"/>
      <c r="I5" s="433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14" s="2" customFormat="1" ht="30" customHeight="1">
      <c r="A6" s="418" t="s">
        <v>133</v>
      </c>
      <c r="B6" s="39">
        <v>1</v>
      </c>
      <c r="C6" s="80" t="s">
        <v>110</v>
      </c>
      <c r="D6" s="81">
        <v>6</v>
      </c>
      <c r="E6" s="123">
        <v>42.42</v>
      </c>
      <c r="F6" s="122">
        <f>(42.8+42.97+43.33+43.01+42.85+43.11+42.57+42.96+42.6+42.47+42.91+42.42+42.85+42.85+42.94+42.87+42.61+42.85+42.88+42.77+44.08+42.97+42.9+43.03+43.28+42.76+43.51+43.71+42.93)/29</f>
        <v>42.958275862068966</v>
      </c>
      <c r="G6" s="80">
        <v>29</v>
      </c>
      <c r="H6" s="80">
        <f>G6-0</f>
        <v>29</v>
      </c>
      <c r="I6" s="83">
        <v>1.5729166666666666E-2</v>
      </c>
      <c r="J6" s="83">
        <f>I6</f>
        <v>1.5729166666666666E-2</v>
      </c>
      <c r="K6" s="84">
        <f>J6</f>
        <v>1.5729166666666666E-2</v>
      </c>
      <c r="L6" s="113">
        <f>F6-E6</f>
        <v>0.53827586206896427</v>
      </c>
      <c r="M6" s="85"/>
    </row>
    <row r="7" spans="1:14" s="2" customFormat="1" ht="30" customHeight="1">
      <c r="A7" s="419"/>
      <c r="B7" s="5">
        <v>2</v>
      </c>
      <c r="C7" s="30" t="s">
        <v>108</v>
      </c>
      <c r="D7" s="27">
        <v>10</v>
      </c>
      <c r="E7" s="108">
        <v>41.82</v>
      </c>
      <c r="F7" s="121">
        <f>(44.58+42.34+43.02+42.27+42.46+42.56+42.49+42.17+43.2+42.44+43.18+42.66+42.21+42.5+42.19+42.39+42.38+42.3+42.2+43.11+42.31+42.5+42.37+42.16+42.19+42.5+42.28+42.38+42.17+42.57+42.69+42.59+42.6+42.4+42.19+42.98+41.82+42.39+42.51+42.24+42.34+42.37+42.51)/43</f>
        <v>42.504883720930231</v>
      </c>
      <c r="G7" s="3">
        <v>73</v>
      </c>
      <c r="H7" s="3">
        <f>G7-G6</f>
        <v>44</v>
      </c>
      <c r="I7" s="23">
        <v>3.8148148148148146E-2</v>
      </c>
      <c r="J7" s="23">
        <f>I7-I6</f>
        <v>2.2418981481481481E-2</v>
      </c>
      <c r="K7" s="24">
        <f>J7</f>
        <v>2.2418981481481481E-2</v>
      </c>
      <c r="L7" s="32">
        <f t="shared" ref="L7:L13" si="0">F7-E7</f>
        <v>0.68488372093023031</v>
      </c>
      <c r="M7" s="86"/>
    </row>
    <row r="8" spans="1:14" s="2" customFormat="1" ht="30" customHeight="1" thickBot="1">
      <c r="A8" s="419"/>
      <c r="B8" s="5">
        <v>3</v>
      </c>
      <c r="C8" s="3" t="s">
        <v>105</v>
      </c>
      <c r="D8" s="27">
        <v>6</v>
      </c>
      <c r="E8" s="117">
        <v>42.42</v>
      </c>
      <c r="F8" s="28">
        <f>(44.29+43.38+48.18+43.72+44.52+43.04+42.97+43.46+43.24+43+42.83+42.86+42.91+43.01+42.65+42.87+43.44+42.66+42.97+42.42+44.76+42.57+42.77+42.47+43.42+42.6+42.92+43.76+42.6+44.23+43.03+42.93+43.03+42.96+42.91+42.71+42.91+42.65+42.53)/39</f>
        <v>43.235384615384618</v>
      </c>
      <c r="G8" s="3">
        <v>113</v>
      </c>
      <c r="H8" s="3">
        <f t="shared" ref="H8:H12" si="1">G8-G7</f>
        <v>40</v>
      </c>
      <c r="I8" s="23">
        <v>5.8993055555555556E-2</v>
      </c>
      <c r="J8" s="23">
        <f>I8-I7</f>
        <v>2.0844907407407409E-2</v>
      </c>
      <c r="K8" s="24">
        <f>J8</f>
        <v>2.0844907407407409E-2</v>
      </c>
      <c r="L8" s="32">
        <f t="shared" si="0"/>
        <v>0.81538461538461604</v>
      </c>
      <c r="M8" s="86"/>
    </row>
    <row r="9" spans="1:14" s="2" customFormat="1" ht="30" customHeight="1" thickBot="1">
      <c r="A9" s="419"/>
      <c r="B9" s="5">
        <v>4</v>
      </c>
      <c r="C9" s="3" t="s">
        <v>110</v>
      </c>
      <c r="D9" s="27">
        <v>3</v>
      </c>
      <c r="E9" s="33">
        <v>41.72</v>
      </c>
      <c r="F9" s="28">
        <f>(43.54+42.72+42.37+42.6+42.31+42.23+42.27+42.19+42.64+42.47+42.78+42.59+42.54+42.5+42.46+42.26+42.37+42.27+42.6+42.17+42.1+42.31+42.36+42.35+42.49+42.42+42.59+42.28+42.64+42.65+42.09+42.34+42.38+43.07+43.14+42.63+42.53+42.94+42.41+42.59+42.69+42.63+42.66+42.59+42.4+42.71+42.24+42.26+42.79+42.64+42.59+42.04+42.07+41.72+42.21+42.11+42.3+42.36+42.58+42.44+42.04+44.65+42.05+42.02+42.68+42.37+42.4)/67</f>
        <v>42.484029850746289</v>
      </c>
      <c r="G9" s="3">
        <v>181</v>
      </c>
      <c r="H9" s="3">
        <f t="shared" si="1"/>
        <v>68</v>
      </c>
      <c r="I9" s="23">
        <v>9.3194444444444455E-2</v>
      </c>
      <c r="J9" s="23">
        <f t="shared" ref="J9:J12" si="2">I9-I8</f>
        <v>3.4201388888888899E-2</v>
      </c>
      <c r="K9" s="25">
        <f>J9+K6</f>
        <v>4.9930555555555561E-2</v>
      </c>
      <c r="L9" s="32">
        <f t="shared" si="0"/>
        <v>0.76402985074629015</v>
      </c>
      <c r="M9" s="86"/>
    </row>
    <row r="10" spans="1:14" s="2" customFormat="1" ht="30" customHeight="1">
      <c r="A10" s="419"/>
      <c r="B10" s="5">
        <v>5</v>
      </c>
      <c r="C10" s="3" t="s">
        <v>108</v>
      </c>
      <c r="D10" s="27">
        <v>10</v>
      </c>
      <c r="E10" s="88">
        <v>41.86</v>
      </c>
      <c r="F10" s="28">
        <f>(43.11+42.23+42.88+43.77+42.02+43.22+42.03+41.86+42.1+41.75+41.94+41.83+42.24+42.26+42.31+42.12+42.54+42.42+42.45+42.55+42.06+42.7+43.18+42.95+42.25+42.42+42.55+42.74+42.4+42.71+42.34+43.38+41.98+42.26+42.18+42.32+42.17+42.27+42.32+42.35+43.34+42.56+43.05+41.96+42.51+42.21+42.67+42.42+42.73+42.62+42.45+42.78+42.37+42.73+42.26+42.61+42.34+42.6+42.07+43.58+43.64+42.14)/62</f>
        <v>42.49677419354839</v>
      </c>
      <c r="G10" s="3">
        <v>244</v>
      </c>
      <c r="H10" s="3">
        <f t="shared" si="1"/>
        <v>63</v>
      </c>
      <c r="I10" s="23">
        <v>0.12495370370370369</v>
      </c>
      <c r="J10" s="23">
        <f t="shared" si="2"/>
        <v>3.1759259259259237E-2</v>
      </c>
      <c r="K10" s="26">
        <f>J10+K7</f>
        <v>5.4178240740740721E-2</v>
      </c>
      <c r="L10" s="89">
        <f t="shared" si="0"/>
        <v>0.6367741935483906</v>
      </c>
      <c r="M10" s="86"/>
    </row>
    <row r="11" spans="1:14" s="2" customFormat="1" ht="30" customHeight="1">
      <c r="A11" s="419"/>
      <c r="B11" s="5">
        <v>6</v>
      </c>
      <c r="C11" s="3" t="s">
        <v>105</v>
      </c>
      <c r="D11" s="27">
        <v>6</v>
      </c>
      <c r="E11" s="108">
        <v>42.37</v>
      </c>
      <c r="F11" s="121">
        <f>(43.25+42.76+42.51+42.97+44.23+42.61+42.37+43.3+42.41+42.52+42.61+43.05+43.25+43.23+42.58+42.72+42.59+42.49+42.9+43.64+42.7+42.87+42.96+42.88+42.86+43.06+42.67+42.8+46+44.22)/30</f>
        <v>43.033666666666669</v>
      </c>
      <c r="G11" s="3">
        <v>275</v>
      </c>
      <c r="H11" s="3">
        <f t="shared" si="1"/>
        <v>31</v>
      </c>
      <c r="I11" s="23">
        <v>0.14116898148148149</v>
      </c>
      <c r="J11" s="23">
        <f t="shared" si="2"/>
        <v>1.6215277777777801E-2</v>
      </c>
      <c r="K11" s="26">
        <f>J11+K8</f>
        <v>3.706018518518521E-2</v>
      </c>
      <c r="L11" s="113">
        <f t="shared" si="0"/>
        <v>0.66366666666667129</v>
      </c>
      <c r="M11" s="100">
        <f>AVERAGE(L6,L9)</f>
        <v>0.65115285640762721</v>
      </c>
      <c r="N11" s="2" t="s">
        <v>139</v>
      </c>
    </row>
    <row r="12" spans="1:14" s="2" customFormat="1" ht="30" customHeight="1">
      <c r="A12" s="419"/>
      <c r="B12" s="5">
        <v>7</v>
      </c>
      <c r="C12" s="3" t="s">
        <v>108</v>
      </c>
      <c r="D12" s="27">
        <v>15</v>
      </c>
      <c r="E12" s="88">
        <v>46.96</v>
      </c>
      <c r="F12" s="92">
        <f>(76.19+65.06+74.19+61+58.25+55.67+54.17+50+46.96)/9</f>
        <v>60.165555555555557</v>
      </c>
      <c r="G12" s="3">
        <v>286</v>
      </c>
      <c r="H12" s="3">
        <f t="shared" si="1"/>
        <v>11</v>
      </c>
      <c r="I12" s="23">
        <v>0.15141203703703704</v>
      </c>
      <c r="J12" s="23">
        <f t="shared" si="2"/>
        <v>1.0243055555555547E-2</v>
      </c>
      <c r="K12" s="25">
        <f>J12+K10</f>
        <v>6.4421296296296268E-2</v>
      </c>
      <c r="L12" s="32">
        <f t="shared" si="0"/>
        <v>13.205555555555556</v>
      </c>
      <c r="M12" s="100">
        <f>AVERAGE(L7,L10,L12)</f>
        <v>4.8424044900113925</v>
      </c>
      <c r="N12" s="2" t="s">
        <v>138</v>
      </c>
    </row>
    <row r="13" spans="1:14" s="2" customFormat="1" ht="30" customHeight="1" thickBot="1">
      <c r="A13" s="419"/>
      <c r="B13" s="102" t="s">
        <v>13</v>
      </c>
      <c r="C13" s="6" t="s">
        <v>105</v>
      </c>
      <c r="D13" s="6">
        <v>5</v>
      </c>
      <c r="E13" s="95">
        <v>43.76</v>
      </c>
      <c r="F13" s="104">
        <f>(48.76+43.88+43.85+43.76+44.06+44.68+50.37+56.14+41.76+59.12+62.01+61.68+63.44+62.38+61.61+62.76+63.12+63.54+62.55+62.34+60.84+60.82)/22</f>
        <v>55.612272727272718</v>
      </c>
      <c r="G13" s="34">
        <v>311</v>
      </c>
      <c r="H13" s="34">
        <f>G13-G12</f>
        <v>25</v>
      </c>
      <c r="I13" s="35">
        <v>0.16668981481481482</v>
      </c>
      <c r="J13" s="35">
        <f>I13-I12</f>
        <v>1.5277777777777779E-2</v>
      </c>
      <c r="K13" s="96">
        <f>J13+K11</f>
        <v>5.2337962962962989E-2</v>
      </c>
      <c r="L13" s="91">
        <f t="shared" si="0"/>
        <v>11.85227272727272</v>
      </c>
      <c r="M13" s="101">
        <f>AVERAGE(L8,L11,L13)</f>
        <v>4.443774669774669</v>
      </c>
      <c r="N13" s="2" t="s">
        <v>137</v>
      </c>
    </row>
    <row r="14" spans="1:14" ht="16.5" thickBot="1">
      <c r="A14" s="420"/>
      <c r="B14" s="434"/>
      <c r="C14" s="435"/>
      <c r="D14" s="436"/>
      <c r="E14" s="105">
        <f>AVERAGE(E6:E13)</f>
        <v>42.916249999999998</v>
      </c>
      <c r="F14" s="106">
        <f>AVERAGE(F6:F13)</f>
        <v>46.561355399021679</v>
      </c>
      <c r="G14" s="12"/>
      <c r="H14" s="12"/>
      <c r="I14" s="12"/>
      <c r="J14" s="12"/>
      <c r="K14" s="12"/>
      <c r="L14" s="12"/>
      <c r="M14" s="12"/>
    </row>
    <row r="16" spans="1:14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H6" sqref="H6:H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4" customWidth="1"/>
    <col min="6" max="6" width="16.5703125" style="44" customWidth="1"/>
    <col min="7" max="8" width="9.42578125" style="44" customWidth="1"/>
    <col min="9" max="9" width="15.7109375" style="44" customWidth="1"/>
    <col min="10" max="10" width="12.85546875" style="44" customWidth="1"/>
    <col min="11" max="11" width="14.7109375" style="44" customWidth="1"/>
    <col min="12" max="12" width="10.5703125" style="44" customWidth="1"/>
    <col min="13" max="13" width="9.140625" style="44"/>
  </cols>
  <sheetData>
    <row r="1" spans="1:14" ht="19.5">
      <c r="A1" s="416" t="s">
        <v>144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4" ht="10.5" customHeight="1"/>
    <row r="3" spans="1:14" ht="15.75" customHeight="1" thickBot="1">
      <c r="A3" s="417" t="s">
        <v>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</row>
    <row r="4" spans="1:14" s="1" customFormat="1" ht="25.5" customHeight="1">
      <c r="A4" s="311" t="s">
        <v>6</v>
      </c>
      <c r="B4" s="425" t="s">
        <v>7</v>
      </c>
      <c r="C4" s="427" t="s">
        <v>2</v>
      </c>
      <c r="D4" s="439" t="s">
        <v>5</v>
      </c>
      <c r="E4" s="431" t="s">
        <v>145</v>
      </c>
      <c r="F4" s="431" t="s">
        <v>72</v>
      </c>
      <c r="G4" s="427" t="s">
        <v>146</v>
      </c>
      <c r="H4" s="427" t="s">
        <v>147</v>
      </c>
      <c r="I4" s="427" t="s">
        <v>73</v>
      </c>
      <c r="J4" s="307" t="s">
        <v>14</v>
      </c>
      <c r="K4" s="442"/>
      <c r="L4" s="307" t="s">
        <v>148</v>
      </c>
      <c r="M4" s="437"/>
      <c r="N4" s="44"/>
    </row>
    <row r="5" spans="1:14" s="1" customFormat="1" ht="22.5" customHeight="1" thickBot="1">
      <c r="A5" s="313"/>
      <c r="B5" s="426"/>
      <c r="C5" s="428"/>
      <c r="D5" s="443"/>
      <c r="E5" s="432"/>
      <c r="F5" s="432"/>
      <c r="G5" s="428"/>
      <c r="H5" s="428"/>
      <c r="I5" s="428"/>
      <c r="J5" s="37" t="s">
        <v>1</v>
      </c>
      <c r="K5" s="37" t="s">
        <v>0</v>
      </c>
      <c r="L5" s="97" t="s">
        <v>149</v>
      </c>
      <c r="M5" s="98" t="s">
        <v>150</v>
      </c>
      <c r="N5" s="44"/>
    </row>
    <row r="6" spans="1:14" s="2" customFormat="1" ht="30" customHeight="1" thickBot="1">
      <c r="A6" s="418" t="s">
        <v>68</v>
      </c>
      <c r="B6" s="39">
        <v>1</v>
      </c>
      <c r="C6" s="80" t="s">
        <v>101</v>
      </c>
      <c r="D6" s="81">
        <v>13</v>
      </c>
      <c r="E6" s="33">
        <v>41.9</v>
      </c>
      <c r="F6" s="122">
        <f>(43.53+44.24+43.56+42.59+42.7+42.66+42.56+42.23+42.32+42.56+42.69+42.84+42.91+42.48+42.56+42.8+43.12+42.32+42.9+42.67+43.34+43.5+43.24+42.7+43.65+42.61+46.59+42.93+42.8+41.9+42.46+42.71+42.79+42.57+42.9+42.39+43.14+42.6+42.45)/39</f>
        <v>42.910512820512828</v>
      </c>
      <c r="G6" s="80">
        <v>39</v>
      </c>
      <c r="H6" s="80">
        <f>G6-0</f>
        <v>39</v>
      </c>
      <c r="I6" s="83">
        <v>2.074074074074074E-2</v>
      </c>
      <c r="J6" s="83">
        <f>I6</f>
        <v>2.074074074074074E-2</v>
      </c>
      <c r="K6" s="84">
        <f>J6</f>
        <v>2.074074074074074E-2</v>
      </c>
      <c r="L6" s="99">
        <f>F6-E6</f>
        <v>1.0105128205128295</v>
      </c>
      <c r="M6" s="85"/>
    </row>
    <row r="7" spans="1:14" s="2" customFormat="1" ht="30" customHeight="1">
      <c r="A7" s="419"/>
      <c r="B7" s="5">
        <v>2</v>
      </c>
      <c r="C7" s="30" t="s">
        <v>98</v>
      </c>
      <c r="D7" s="27">
        <v>15</v>
      </c>
      <c r="E7" s="3">
        <v>42.18</v>
      </c>
      <c r="F7" s="121">
        <f>(44.46+43.72+43.94+43.19+42.99+43.36+43.12+42.86+42.7+43.05+42.74+43.61+43.05+42.86+43.4+43.28+43.1+42.71+42.89+42.68+43.36+42.89+43.69+42.49+42.75+43.36+42.86+42.81+42.67+42.47+42.51+42.96+42.72+42.51+42.38+42.9+42.64+48.57+43.25+43.43+43.03+42.65+42.62+42.75+42.18+42.52+42.59)/47</f>
        <v>43.090851063829788</v>
      </c>
      <c r="G7" s="3">
        <v>87</v>
      </c>
      <c r="H7" s="3">
        <f>G7-G6</f>
        <v>48</v>
      </c>
      <c r="I7" s="23">
        <v>4.5474537037037042E-2</v>
      </c>
      <c r="J7" s="23">
        <f>I7-I6</f>
        <v>2.4733796296296302E-2</v>
      </c>
      <c r="K7" s="24">
        <f>J7</f>
        <v>2.4733796296296302E-2</v>
      </c>
      <c r="L7" s="32">
        <f t="shared" ref="L7:L13" si="0">F7-E7</f>
        <v>0.91085106382978864</v>
      </c>
      <c r="M7" s="86"/>
    </row>
    <row r="8" spans="1:14" s="2" customFormat="1" ht="30" customHeight="1">
      <c r="A8" s="419"/>
      <c r="B8" s="5">
        <v>3</v>
      </c>
      <c r="C8" s="3" t="s">
        <v>33</v>
      </c>
      <c r="D8" s="27">
        <v>11</v>
      </c>
      <c r="E8" s="124">
        <v>41.95</v>
      </c>
      <c r="F8" s="28">
        <f>(44.48+44.58+43.71+42.59+43.24+43.26+42.85+42.8+42.74+42.33+42.85+42.65+42.81+42.3+42.85+42.83+43.31+43.29+43.71+43.82+42.77+43.3+42+42.87+42.72+42.99+42.9+42.46+43.36+41.95+42.86+42.39+42.6+42.52+43.74+43.18+42.37+42.33+43.01+43.43+42.96+42.55+42.18+42.68+42.9+43.22+42.81+42.41+42.3+42.33+42.68+42.41+42.37+42.38+42.24+42.8+42.06+42.19)/58</f>
        <v>42.831379310344822</v>
      </c>
      <c r="G8" s="3">
        <v>146</v>
      </c>
      <c r="H8" s="3">
        <f t="shared" ref="H8:H12" si="1">G8-G7</f>
        <v>59</v>
      </c>
      <c r="I8" s="23">
        <v>7.5497685185185182E-2</v>
      </c>
      <c r="J8" s="23">
        <f>I8-I7</f>
        <v>3.0023148148148139E-2</v>
      </c>
      <c r="K8" s="24">
        <f>J8</f>
        <v>3.0023148148148139E-2</v>
      </c>
      <c r="L8" s="113">
        <f t="shared" si="0"/>
        <v>0.88137931034481909</v>
      </c>
      <c r="M8" s="86"/>
    </row>
    <row r="9" spans="1:14" s="2" customFormat="1" ht="30" customHeight="1">
      <c r="A9" s="419"/>
      <c r="B9" s="5">
        <v>4</v>
      </c>
      <c r="C9" s="3" t="s">
        <v>101</v>
      </c>
      <c r="D9" s="27">
        <v>13</v>
      </c>
      <c r="E9" s="88">
        <v>41.91</v>
      </c>
      <c r="F9" s="28">
        <f>(43.06+42.83+42.32+42.37+44.39+42.25+43.4+42.01+42.27+42.53+41.97+41.95+42.9+42.17+42.81+42.18+43.58+42.28+42.48+42.87+42.13+42.1+43.2+42.31+43.18+42.17+42.17+42.07+41.91+42.14+41.92+41.91+42.12+42.06+42.04+41.97)/36</f>
        <v>42.445000000000014</v>
      </c>
      <c r="G9" s="3">
        <v>183</v>
      </c>
      <c r="H9" s="3">
        <f t="shared" si="1"/>
        <v>37</v>
      </c>
      <c r="I9" s="23">
        <v>9.4444444444444442E-2</v>
      </c>
      <c r="J9" s="23">
        <f t="shared" ref="J9:J12" si="2">I9-I8</f>
        <v>1.894675925925926E-2</v>
      </c>
      <c r="K9" s="24">
        <f>J9+K6</f>
        <v>3.9687500000000001E-2</v>
      </c>
      <c r="L9" s="113">
        <f t="shared" si="0"/>
        <v>0.53500000000001791</v>
      </c>
      <c r="M9" s="86"/>
    </row>
    <row r="10" spans="1:14" s="2" customFormat="1" ht="30" customHeight="1">
      <c r="A10" s="419"/>
      <c r="B10" s="5">
        <v>5</v>
      </c>
      <c r="C10" s="30" t="s">
        <v>98</v>
      </c>
      <c r="D10" s="27">
        <v>2</v>
      </c>
      <c r="E10" s="110">
        <v>42.09</v>
      </c>
      <c r="F10" s="28">
        <f>(43.24+42.57+42.72+42.69+42.22+42.75+42.31+42.43+42.46+42.13+42.15+42.41+42.5+42.32+42.09+42.72+42.7+42.21+42.43)/19</f>
        <v>42.476315789473688</v>
      </c>
      <c r="G10" s="3">
        <v>203</v>
      </c>
      <c r="H10" s="3">
        <f t="shared" si="1"/>
        <v>20</v>
      </c>
      <c r="I10" s="23">
        <v>0.10505787037037036</v>
      </c>
      <c r="J10" s="23">
        <f t="shared" si="2"/>
        <v>1.0613425925925915E-2</v>
      </c>
      <c r="K10" s="26">
        <f>J10+K7</f>
        <v>3.5347222222222217E-2</v>
      </c>
      <c r="L10" s="89">
        <f t="shared" si="0"/>
        <v>0.38631578947368439</v>
      </c>
      <c r="M10" s="86"/>
    </row>
    <row r="11" spans="1:14" s="2" customFormat="1" ht="30" customHeight="1">
      <c r="A11" s="419"/>
      <c r="B11" s="5">
        <v>6</v>
      </c>
      <c r="C11" s="3" t="s">
        <v>33</v>
      </c>
      <c r="D11" s="27">
        <v>3</v>
      </c>
      <c r="E11" s="3">
        <v>42.03</v>
      </c>
      <c r="F11" s="121">
        <f>(43.74+43.34+59.72+42.65+43.38+42.26+43.8+43.56+43.39+42.86+42.91+42.36+42.76+42.78+42.12+42.69+42.63+42.63+43.91+42.53+42.28+42.41+42.46+42.55+42.23+42.25+42.07+42.53+42.97+42.25+42.03+43.84+43.04+42.2+43.25+42.41+42.09+42.22+42.4+42.53+42.25+43.03+42.13+42.37+43.49+42.62+42.13+42.46+42.14+43.56+42.18+42.32+42.92+55.49+42.37+42.83+42.78+43.15+42.73+42.84+43.33+42.92+43.09+42.81+43.08+43.15)/66</f>
        <v>43.18484848484848</v>
      </c>
      <c r="G11" s="3">
        <v>270</v>
      </c>
      <c r="H11" s="3">
        <f t="shared" si="1"/>
        <v>67</v>
      </c>
      <c r="I11" s="23">
        <v>0.13930555555555554</v>
      </c>
      <c r="J11" s="23">
        <f t="shared" si="2"/>
        <v>3.4247685185185187E-2</v>
      </c>
      <c r="K11" s="25">
        <f>J11+K8</f>
        <v>6.4270833333333333E-2</v>
      </c>
      <c r="L11" s="32">
        <f t="shared" si="0"/>
        <v>1.154848484848479</v>
      </c>
      <c r="M11" s="100">
        <f>AVERAGE(L8,L11)</f>
        <v>1.0181138975966491</v>
      </c>
      <c r="N11" s="2" t="s">
        <v>88</v>
      </c>
    </row>
    <row r="12" spans="1:14" s="2" customFormat="1" ht="30" customHeight="1">
      <c r="A12" s="419"/>
      <c r="B12" s="5">
        <v>7</v>
      </c>
      <c r="C12" s="3" t="s">
        <v>101</v>
      </c>
      <c r="D12" s="27">
        <v>10</v>
      </c>
      <c r="E12" s="88">
        <v>44.33</v>
      </c>
      <c r="F12" s="92">
        <f>(45.13+44.33+53.09+72.8+67.11+66.26+66.97+76.03+62.56+67.05+60.27+56.34+59.51+50.45+48.24+47.31+45.57+44.74)/18</f>
        <v>57.431111111111107</v>
      </c>
      <c r="G12" s="3">
        <v>290</v>
      </c>
      <c r="H12" s="3">
        <f t="shared" si="1"/>
        <v>20</v>
      </c>
      <c r="I12" s="23">
        <v>0.15490740740740741</v>
      </c>
      <c r="J12" s="23">
        <f t="shared" si="2"/>
        <v>1.5601851851851867E-2</v>
      </c>
      <c r="K12" s="25">
        <f>J12+K9</f>
        <v>5.5289351851851867E-2</v>
      </c>
      <c r="L12" s="32">
        <f t="shared" si="0"/>
        <v>13.101111111111109</v>
      </c>
      <c r="M12" s="100">
        <f>AVERAGE(L6,L9,L12)</f>
        <v>4.8822079772079858</v>
      </c>
      <c r="N12" s="2" t="s">
        <v>90</v>
      </c>
    </row>
    <row r="13" spans="1:14" s="2" customFormat="1" ht="30" customHeight="1" thickBot="1">
      <c r="A13" s="419"/>
      <c r="B13" s="40" t="s">
        <v>13</v>
      </c>
      <c r="C13" s="125" t="s">
        <v>98</v>
      </c>
      <c r="D13" s="34">
        <v>15</v>
      </c>
      <c r="E13" s="115">
        <v>48.32</v>
      </c>
      <c r="F13" s="93">
        <f>(48.32+46.84+60.22+55.35+56.63+68.17+68.21+63.58+64.8+63.83+62.36+62.58+63.25+72.67+61.9+62.48+68.05)/17</f>
        <v>61.72</v>
      </c>
      <c r="G13" s="34">
        <v>308</v>
      </c>
      <c r="H13" s="34">
        <f>G13-G12</f>
        <v>18</v>
      </c>
      <c r="I13" s="35">
        <v>0.16668981481481482</v>
      </c>
      <c r="J13" s="35">
        <f>I13-I12</f>
        <v>1.1782407407407408E-2</v>
      </c>
      <c r="K13" s="96">
        <f>J13+K10</f>
        <v>4.7129629629629625E-2</v>
      </c>
      <c r="L13" s="91">
        <f t="shared" si="0"/>
        <v>13.399999999999999</v>
      </c>
      <c r="M13" s="101">
        <f>AVERAGE(L7,L10,L13)</f>
        <v>4.8990556177678242</v>
      </c>
      <c r="N13" s="2" t="s">
        <v>140</v>
      </c>
    </row>
    <row r="14" spans="1:14" ht="16.5" thickBot="1">
      <c r="A14" s="420"/>
      <c r="B14" s="434"/>
      <c r="C14" s="435"/>
      <c r="D14" s="436"/>
      <c r="E14" s="105">
        <f>AVERAGE(E6:E13)</f>
        <v>43.088749999999997</v>
      </c>
      <c r="F14" s="106">
        <f>AVERAGE(F6:F13)</f>
        <v>47.011252322515091</v>
      </c>
      <c r="G14" s="12"/>
      <c r="H14" s="12"/>
      <c r="I14" s="12"/>
      <c r="J14" s="12"/>
      <c r="K14" s="12"/>
      <c r="L14" s="12"/>
      <c r="M14" s="12"/>
    </row>
    <row r="16" spans="1:14">
      <c r="A16" s="94" t="s">
        <v>152</v>
      </c>
    </row>
    <row r="17" spans="1:1" ht="15.75">
      <c r="A17" s="31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2:H74"/>
  <sheetViews>
    <sheetView topLeftCell="A10" workbookViewId="0">
      <selection activeCell="B24" sqref="B24"/>
    </sheetView>
  </sheetViews>
  <sheetFormatPr defaultRowHeight="15"/>
  <cols>
    <col min="1" max="1" width="6.42578125" customWidth="1"/>
    <col min="2" max="2" width="19.7109375" style="48" customWidth="1"/>
    <col min="3" max="3" width="18" style="44" customWidth="1"/>
    <col min="4" max="4" width="9.140625" style="134"/>
    <col min="5" max="6" width="10.7109375" customWidth="1"/>
    <col min="8" max="8" width="9.140625" style="12"/>
  </cols>
  <sheetData>
    <row r="2" spans="1:8" ht="15.75">
      <c r="A2" s="126" t="s">
        <v>153</v>
      </c>
      <c r="B2" s="126" t="s">
        <v>2</v>
      </c>
      <c r="C2" s="126" t="s">
        <v>3</v>
      </c>
      <c r="D2" s="126" t="s">
        <v>154</v>
      </c>
      <c r="E2" s="126" t="s">
        <v>155</v>
      </c>
      <c r="F2" s="126" t="s">
        <v>156</v>
      </c>
      <c r="G2" s="126" t="s">
        <v>157</v>
      </c>
      <c r="H2" s="127" t="s">
        <v>158</v>
      </c>
    </row>
    <row r="3" spans="1:8" ht="15.75">
      <c r="A3" s="128">
        <v>1</v>
      </c>
      <c r="B3" s="129" t="s">
        <v>28</v>
      </c>
      <c r="C3" s="3" t="s">
        <v>151</v>
      </c>
      <c r="D3" s="108">
        <v>40.79</v>
      </c>
      <c r="E3" s="130">
        <f>(42.46+41.89+41.64+41.49+41.32+41.63+41.56+41.19+41.38+41.27+41.07+40.99+41.59+41.21+41.27+41.13+41.26+41.24+41.28+41.15+41.08+41.07+41.09+41.02+41.23+40.96+41.16+41.27+43.1+41.41+41.11+41.09+40.91+41.14+40.92+40.87+40.79+40.94+40.93+41.51+41.13+41.09+41.11+41.03+40.94+41.1+41+41.1+41.16+41.04+41.05+41.31+41.11+41.05+41.1+41.55+41.51+41.23+41.12+41.36)/60</f>
        <v>41.245166666666684</v>
      </c>
      <c r="F3" s="130">
        <v>0.4551666666666847</v>
      </c>
      <c r="G3" s="3">
        <v>1</v>
      </c>
      <c r="H3" s="131">
        <v>61</v>
      </c>
    </row>
    <row r="4" spans="1:8" ht="15.75">
      <c r="A4" s="128">
        <v>2</v>
      </c>
      <c r="B4" s="129" t="s">
        <v>22</v>
      </c>
      <c r="C4" s="3" t="s">
        <v>161</v>
      </c>
      <c r="D4" s="108">
        <v>41.05</v>
      </c>
      <c r="E4" s="135">
        <f>(41.91+41.35+41.22+41.21+41.34+41.08+41.06+41.46+41.35+41.05+41.37+41.33+41.46+41.57+42.01+41.37+41.42+41.26+41.46+41.46+41.37+41.39+41.18+41.28+41.2+41.15+41.63+43.57+41.9+42.1+52.51)/30</f>
        <v>43.234000000000009</v>
      </c>
      <c r="F4" s="130">
        <v>2.1840000000000117</v>
      </c>
      <c r="G4" s="3">
        <v>1</v>
      </c>
      <c r="H4" s="131">
        <v>32</v>
      </c>
    </row>
    <row r="5" spans="1:8" ht="15.75">
      <c r="A5" s="128">
        <v>3</v>
      </c>
      <c r="B5" s="129" t="s">
        <v>22</v>
      </c>
      <c r="C5" s="3" t="s">
        <v>161</v>
      </c>
      <c r="D5" s="3">
        <v>41.18</v>
      </c>
      <c r="E5" s="130">
        <f>(41.94+41.54+41.5+41.59+41.58+41.41+41.37+41.42+41.38+41.44+41.34+41.29+41.5+41.45+41.44+41.2+41.39+41.59+41.25+41.22+41.5+41.29+41.33+41.18+41.42+41.25+41.98+41.8+41.68+41.51+41.45+41.41+41.41)/33</f>
        <v>41.456060606060618</v>
      </c>
      <c r="F5" s="130">
        <v>0.27606060606061789</v>
      </c>
      <c r="G5" s="3">
        <v>1</v>
      </c>
      <c r="H5" s="131">
        <v>33</v>
      </c>
    </row>
    <row r="6" spans="1:8" ht="15.75">
      <c r="A6" s="128">
        <v>4</v>
      </c>
      <c r="B6" s="129" t="s">
        <v>28</v>
      </c>
      <c r="C6" s="3" t="s">
        <v>151</v>
      </c>
      <c r="D6" s="3">
        <v>41.31</v>
      </c>
      <c r="E6" s="135">
        <f>(42.28+41.39+41.23+41.31+42.61+46.51+50.33+51.06+55.09+58.83+62.26+61.55+61.44+60.6+62.78+60.93+60.41+59.36+61.89+60.33+60.15)/21</f>
        <v>54.397142857142853</v>
      </c>
      <c r="F6" s="130">
        <v>13.087142857142851</v>
      </c>
      <c r="G6" s="3">
        <v>1</v>
      </c>
      <c r="H6" s="131">
        <v>22</v>
      </c>
    </row>
    <row r="7" spans="1:8" ht="15.75">
      <c r="A7" s="128">
        <v>5</v>
      </c>
      <c r="B7" s="129" t="s">
        <v>25</v>
      </c>
      <c r="C7" s="3" t="s">
        <v>160</v>
      </c>
      <c r="D7" s="108">
        <v>41.39</v>
      </c>
      <c r="E7" s="130">
        <f>(42.14+41.54+41.45+41.5+41.51+41.66+42.53+41.77+41.39+41.87+41.65+43.22+41.44+41.57+41.47+42.28+41.61+41.54+41.85+43.31+43.6+42.28+42.29+41.81+41.82+42.17+41.93+41.73+42.06+42.14+42.09+41.78+42.12+43.16+42.1+41.99+41.88+41.65+42.76+42.03+41.73+41.86+42.17+42.62+42.26+42.1+43.22+42.04+42.23+43+42.98+42.9+42.2+42.08+42.02+42.36+42.73+45.1+42.6)/59</f>
        <v>42.18457627118643</v>
      </c>
      <c r="F7" s="130">
        <v>0.79457627118642904</v>
      </c>
      <c r="G7" s="3">
        <v>1</v>
      </c>
      <c r="H7" s="131">
        <v>61</v>
      </c>
    </row>
    <row r="8" spans="1:8" ht="15.75">
      <c r="A8" s="128">
        <v>6</v>
      </c>
      <c r="B8" s="129" t="s">
        <v>122</v>
      </c>
      <c r="C8" s="3" t="s">
        <v>117</v>
      </c>
      <c r="D8" s="108">
        <v>41.31</v>
      </c>
      <c r="E8" s="130">
        <f>(42.81+41.9+41.9+41.71+41.84+41.54+58.51+42.2+41.4+41.46+41.39+41.4+41.77+41.61+41.58+41.6+41.6+41.57+41.51+41.37+41.79+41.77+41.59+41.48+41.78+41.39+41.82+41.6+41.62+41.56+41.56+41.76+41.49+41.53+42.13+41.52+41.31+41.76+41.77+41.69+41.74+41.63+41.44+41.75+41.5+41.74+41.4+41.59+41.95+41.68+41.52+41.71+41.44)/53</f>
        <v>41.975094339622636</v>
      </c>
      <c r="F8" s="130">
        <v>0.66509433962263387</v>
      </c>
      <c r="G8" s="3">
        <v>1</v>
      </c>
      <c r="H8" s="131">
        <v>54</v>
      </c>
    </row>
    <row r="9" spans="1:8" ht="15.75">
      <c r="A9" s="128">
        <v>7</v>
      </c>
      <c r="B9" s="129" t="s">
        <v>131</v>
      </c>
      <c r="C9" s="3" t="s">
        <v>19</v>
      </c>
      <c r="D9" s="108">
        <v>41.34</v>
      </c>
      <c r="E9" s="130">
        <f>(42.24+41.42+41.34+41.75+41.44+41.44+41.66+41.88+41.8+41.68+41.49+41.43+41.82+41.79+41.81+41.7+41.49+41.88+41.44+41.8+41.6+41.65+41.61+41.8+41.55+41.85+41.68+41.59+41.8+41.81+41.6+42.05+41.68+41.89+41.69+41.72+42.51+42.6+42.16+41.55+41.46+41.6+41.64+41.74+41.79+41.95+41.68+41.96+41.58+41.43+41.62)/51</f>
        <v>41.728235294117646</v>
      </c>
      <c r="F9" s="130">
        <v>0.38823529411764213</v>
      </c>
      <c r="G9" s="3">
        <v>2</v>
      </c>
      <c r="H9" s="131">
        <v>52</v>
      </c>
    </row>
    <row r="10" spans="1:8" ht="15.75">
      <c r="A10" s="128">
        <v>8</v>
      </c>
      <c r="B10" s="129" t="s">
        <v>118</v>
      </c>
      <c r="C10" s="3" t="s">
        <v>117</v>
      </c>
      <c r="D10" s="3">
        <v>41.46</v>
      </c>
      <c r="E10" s="130">
        <f>(43.23+42.39+41.64+41.97+41.67+41.95+41.95+41.88+41.87+42.23+41.69+41.84+41.7+41.62+41.83+41.7+41.59+41.59+42.03+41.91+41.56+41.94+41.67+41.87+41.83+41.76+42.31+41.73+42.15+42.09+41.8+41.65+41.46+41.46+41.64+41.69+41.75+41.73+41.98+41.74+41.55+41.88+42.22+41.8+41.69+41.6+41.95+41.5+41.61+41.88+42.47+41.59+41.92+42.03+41.97+41.98+41.74+41.59+41.68+41.73+41.77+41.77+41.62+42.96+41.7+41.6+41.7)/67</f>
        <v>41.844626865671636</v>
      </c>
      <c r="F10" s="130">
        <v>0.38462686567163473</v>
      </c>
      <c r="G10" s="3">
        <v>2</v>
      </c>
      <c r="H10" s="131">
        <v>68</v>
      </c>
    </row>
    <row r="11" spans="1:8" ht="15.75">
      <c r="A11" s="128">
        <v>9</v>
      </c>
      <c r="B11" s="129" t="s">
        <v>24</v>
      </c>
      <c r="C11" s="3" t="s">
        <v>160</v>
      </c>
      <c r="D11" s="108">
        <v>41.61</v>
      </c>
      <c r="E11" s="130">
        <f>(42.89+42.03+41.9+42.06+41.8+41.77+41.78+41.96+41.92+41.94+42.08+41.84+41.92+42.98+41.66+41.61+41.7+41.97+41.74+41.7+41.9+41.92+42.1+41.96+41.88+41.92+41.81+41.96+42.46+42.85+41.68+42.02+41.9+42.02+41.91+41.88+41.95+42.58+41.93+41.73+41.87+41.71+41.78+41.84+42.47+42.01+42.17+41.87+41.96+41.9+41.95+41.69+41.93+41.81+42.03+42.23+42.53+41.98+41.68+42.02+41.83+41.72+41.98+41.86+41.83+41.92+41.81+42)/68</f>
        <v>41.970441176470594</v>
      </c>
      <c r="F11" s="130">
        <v>0.36044117647059437</v>
      </c>
      <c r="G11" s="3">
        <v>2</v>
      </c>
      <c r="H11" s="131">
        <v>69</v>
      </c>
    </row>
    <row r="12" spans="1:8" ht="15.75">
      <c r="A12" s="128">
        <v>10</v>
      </c>
      <c r="B12" s="129" t="s">
        <v>23</v>
      </c>
      <c r="C12" s="3" t="s">
        <v>161</v>
      </c>
      <c r="D12" s="3">
        <v>41.64</v>
      </c>
      <c r="E12" s="130">
        <f>(43.21+42.23+41.85+41.82+42.17+41.81+42.15+42.17+42.64+41.86+41.74+42.54+41.81+41.64+41.9+42.14+41.78+42.06+41.67+41.82+41.76+41.67+41.78)/23</f>
        <v>42.009565217391298</v>
      </c>
      <c r="F12" s="130">
        <v>0.36956521739129755</v>
      </c>
      <c r="G12" s="3">
        <v>2</v>
      </c>
      <c r="H12" s="131">
        <v>24</v>
      </c>
    </row>
    <row r="13" spans="1:8" ht="15.75">
      <c r="A13" s="128">
        <v>11</v>
      </c>
      <c r="B13" s="129" t="s">
        <v>23</v>
      </c>
      <c r="C13" s="3" t="s">
        <v>161</v>
      </c>
      <c r="D13" s="3">
        <v>41.74</v>
      </c>
      <c r="E13" s="135">
        <f>(62.87+60.49+59.23+54.23+51.62+49.56+47.32+45.69+43.92+42.9+42.67+42.29+42.36+42.18+42.17+41.96+41.74+41.89+42.25+44.66+43.55+49.91+55.74+61.23+61.83+61.43+61.6+60.89+62.29+61.67+61.56+61.09+61.33+61.01+65.73)/35</f>
        <v>52.367428571428562</v>
      </c>
      <c r="F13" s="130">
        <v>10.62742857142856</v>
      </c>
      <c r="G13" s="3">
        <v>2</v>
      </c>
      <c r="H13" s="131">
        <v>37</v>
      </c>
    </row>
    <row r="14" spans="1:8" ht="15.75">
      <c r="A14" s="128">
        <v>12</v>
      </c>
      <c r="B14" s="129" t="s">
        <v>98</v>
      </c>
      <c r="C14" s="3" t="s">
        <v>20</v>
      </c>
      <c r="D14" s="108">
        <v>42.09</v>
      </c>
      <c r="E14" s="130">
        <f>(43.24+42.57+42.72+42.69+42.22+42.75+42.31+42.43+42.46+42.13+42.15+42.41+42.5+42.32+42.09+42.72+42.7+42.21+42.43)/19</f>
        <v>42.476315789473688</v>
      </c>
      <c r="F14" s="130">
        <v>0.38631578947368439</v>
      </c>
      <c r="G14" s="3">
        <v>2</v>
      </c>
      <c r="H14" s="131">
        <v>20</v>
      </c>
    </row>
    <row r="15" spans="1:8" ht="15.75">
      <c r="A15" s="128">
        <v>13</v>
      </c>
      <c r="B15" s="129" t="s">
        <v>27</v>
      </c>
      <c r="C15" s="3" t="s">
        <v>16</v>
      </c>
      <c r="D15" s="3">
        <v>41.34</v>
      </c>
      <c r="E15" s="130">
        <f>(42.54+41.72+41.76+41.7+41.44+41.73+41.34+41.37+43.23+41.7+41.38+41.55+41.55+41.48+41.7+41.7+41.54+41.7+41.69+41.88+41.73)/21</f>
        <v>41.734761904761911</v>
      </c>
      <c r="F15" s="130">
        <v>0.39476190476190709</v>
      </c>
      <c r="G15" s="3">
        <v>3</v>
      </c>
      <c r="H15" s="131">
        <v>21</v>
      </c>
    </row>
    <row r="16" spans="1:8" ht="15.75">
      <c r="A16" s="128">
        <v>14</v>
      </c>
      <c r="B16" s="129" t="s">
        <v>110</v>
      </c>
      <c r="C16" s="3" t="s">
        <v>104</v>
      </c>
      <c r="D16" s="108">
        <v>41.72</v>
      </c>
      <c r="E16" s="130">
        <f>(43.54+42.72+42.37+42.6+42.31+42.23+42.27+42.19+42.64+42.47+42.78+42.59+42.54+42.5+42.46+42.26+42.37+42.27+42.6+42.17+42.1+42.31+42.36+42.35+42.49+42.42+42.59+42.28+42.64+42.65+42.09+42.34+42.38+43.07+43.14+42.63+42.53+42.94+42.41+42.59+42.69+42.63+42.66+42.59+42.4+42.71+42.24+42.26+42.79+42.64+42.59+42.04+42.07+41.72+42.21+42.11+42.3+42.36+42.58+42.44+42.04+44.65+42.05+42.02+42.68+42.37+42.4)/67</f>
        <v>42.484029850746289</v>
      </c>
      <c r="F16" s="130">
        <v>0.76402985074629015</v>
      </c>
      <c r="G16" s="3">
        <v>3</v>
      </c>
      <c r="H16" s="131">
        <v>68</v>
      </c>
    </row>
    <row r="17" spans="1:8" ht="15.75">
      <c r="A17" s="128">
        <v>15</v>
      </c>
      <c r="B17" s="129" t="s">
        <v>33</v>
      </c>
      <c r="C17" s="3" t="s">
        <v>20</v>
      </c>
      <c r="D17" s="3">
        <v>42.03</v>
      </c>
      <c r="E17" s="130">
        <f>(43.74+43.34+59.72+42.65+43.38+42.26+43.8+43.56+43.39+42.86+42.91+42.36+42.76+42.78+42.12+42.69+42.63+42.63+43.91+42.53+42.28+42.41+42.46+42.55+42.23+42.25+42.07+42.53+42.97+42.25+42.03+43.84+43.04+42.2+43.25+42.41+42.09+42.22+42.4+42.53+42.25+43.03+42.13+42.37+43.49+42.62+42.13+42.46+42.14+43.56+42.18+42.32+42.92+55.49+42.37+42.83+42.78+43.15+42.73+42.84+43.33+42.92+43.09+42.81+43.08+43.15)/66</f>
        <v>43.18484848484848</v>
      </c>
      <c r="F17" s="130">
        <v>1.154848484848479</v>
      </c>
      <c r="G17" s="3">
        <v>3</v>
      </c>
      <c r="H17" s="131">
        <v>67</v>
      </c>
    </row>
    <row r="18" spans="1:8" ht="15.75">
      <c r="A18" s="128">
        <v>16</v>
      </c>
      <c r="B18" s="129" t="s">
        <v>32</v>
      </c>
      <c r="C18" s="3" t="s">
        <v>159</v>
      </c>
      <c r="D18" s="3">
        <v>42.13</v>
      </c>
      <c r="E18" s="135">
        <f>(63.51+63.29+62.83+62.65+62.95+61.62+60.21+60.12+55.31+52.2+44.91+63.82+43.86+43.11+43.11+42.96+42.7+42.13+42.32+44.23+47.95+50.97+50.41+56.77+61.43+61.65+63.23+61.52+61.62+61.56+61.5+62.42+61.67+61.46+60.42+59.87)/36</f>
        <v>55.619166666666679</v>
      </c>
      <c r="F18" s="130">
        <v>13.489166666666677</v>
      </c>
      <c r="G18" s="3">
        <v>3</v>
      </c>
      <c r="H18" s="131">
        <v>38</v>
      </c>
    </row>
    <row r="19" spans="1:8" ht="15.75">
      <c r="A19" s="128">
        <v>17</v>
      </c>
      <c r="B19" s="129" t="s">
        <v>28</v>
      </c>
      <c r="C19" s="3" t="s">
        <v>151</v>
      </c>
      <c r="D19" s="3">
        <v>41.36</v>
      </c>
      <c r="E19" s="130">
        <f>(42.68+42+41.87+41.69+41.63+41.56+41.69+41.64+41.52+41.8+41.54+41.7+41.68+41.52+41.5+41.46+41.56+41.75+41.45+41.51+41.71+41.79+41.81+41.73+41.59+41.63+41.6+41.64+41.55+41.7+41.49+42.45+41.66+41.72+41.51+41.48+41.49+41.47+41.36+41.49+41.4+41.47+41.7+41.82+41.53+41.46+41.49+41.52)/48</f>
        <v>41.646041666666669</v>
      </c>
      <c r="F19" s="130">
        <v>0.28604166666666941</v>
      </c>
      <c r="G19" s="3">
        <v>3</v>
      </c>
      <c r="H19" s="131">
        <v>49</v>
      </c>
    </row>
    <row r="20" spans="1:8" ht="15.75">
      <c r="A20" s="128">
        <v>18</v>
      </c>
      <c r="B20" s="129" t="s">
        <v>22</v>
      </c>
      <c r="C20" s="3" t="s">
        <v>161</v>
      </c>
      <c r="D20" s="3">
        <v>41.09</v>
      </c>
      <c r="E20" s="130">
        <f>(41.95+41.74+41.33+41.13+41.53+41.32+41.21+41.32+41.18+41.5+41.34+41.09+41.7+41.36+41.46+41.39+41.26+41.34+41.47+41.51+41.89+41.36+41.48+41.42+41.34+41.31+41.52+41.52+41.4+41.36+41.65+41.38+41.35+41.38+41.49+41.54+41.45+41.52+41.35+41.41+41.33+41.46+41.62+41.43+41.45+41.45+41.51+41.39+41.69+41.37+41.61+41.42+41.41+41.69+41.55+41.66+41.68+41.56+41.48+41.53+41.58+41.66+41.79+41.51+41.66+41.7+41.57+41.48+41.93)/69</f>
        <v>41.48434782608696</v>
      </c>
      <c r="F20" s="130">
        <v>0.39434782608695684</v>
      </c>
      <c r="G20" s="3">
        <v>5</v>
      </c>
      <c r="H20" s="131">
        <v>70</v>
      </c>
    </row>
    <row r="21" spans="1:8" ht="15.75">
      <c r="A21" s="128">
        <v>19</v>
      </c>
      <c r="B21" s="129" t="s">
        <v>24</v>
      </c>
      <c r="C21" s="3" t="s">
        <v>160</v>
      </c>
      <c r="D21" s="3">
        <v>41.66</v>
      </c>
      <c r="E21" s="130">
        <f>(42.75+42.42+42.09+42.3+42.17+41.9+41.85+41.71+42.01+41.88+41.91+42.05+41.71+41.87+41.72+42.03+41.93+41.81+41.84+41.8+41.87+41.8+42.47+41.7+42.2+41.8+41.87+41.79+41.91+42.62+42.77+41.8+42+42.01+41.88+41.89+42.33+41.94+41.96+42.32+41.98+41.66)/42</f>
        <v>42.007619047619045</v>
      </c>
      <c r="F21" s="130">
        <v>0.34761904761904816</v>
      </c>
      <c r="G21" s="3">
        <v>5</v>
      </c>
      <c r="H21" s="131">
        <v>43</v>
      </c>
    </row>
    <row r="22" spans="1:8" ht="15.75">
      <c r="A22" s="128">
        <v>20</v>
      </c>
      <c r="B22" s="129" t="s">
        <v>105</v>
      </c>
      <c r="C22" s="3" t="s">
        <v>104</v>
      </c>
      <c r="D22" s="3">
        <v>43.76</v>
      </c>
      <c r="E22" s="135">
        <f>(48.76+43.88+43.85+43.76+44.06+44.68+50.37+56.14+41.76+59.12+62.01+61.68+63.44+62.38+61.61+62.76+63.12+63.54+62.55+62.34+60.84+60.82)/22</f>
        <v>55.612272727272718</v>
      </c>
      <c r="F22" s="130">
        <v>11.85227272727272</v>
      </c>
      <c r="G22" s="3">
        <v>5</v>
      </c>
      <c r="H22" s="131">
        <v>25</v>
      </c>
    </row>
    <row r="23" spans="1:8" ht="15.75">
      <c r="A23" s="128">
        <v>21</v>
      </c>
      <c r="B23" s="129" t="s">
        <v>27</v>
      </c>
      <c r="C23" s="3" t="s">
        <v>16</v>
      </c>
      <c r="D23" s="3">
        <v>41.15</v>
      </c>
      <c r="E23" s="130">
        <f>(42.1+41.15+41.17+41.22+41.42+41.21+41.29+41.79+41.49+41.36+41.48+41.43+41.47+41.28+41.38+41.29+41.22+41.44+41.42+41.51+41.39+41.42+41.49+41.5+41.22+41.47+41.34+41.25+41.41+41.43+41.46+42.34+41.48+41.31+41.48+41.29+41.18+41.28+41.21+41.43+41.34+41.33+41.61+41.36+41.24+41.45+41.27+41.53+41.39+41.54+41.35+41.26+41.39+41.3)/54</f>
        <v>41.40481481481482</v>
      </c>
      <c r="F23" s="130">
        <v>0.25481481481482149</v>
      </c>
      <c r="G23" s="3">
        <v>5</v>
      </c>
      <c r="H23" s="131">
        <v>55</v>
      </c>
    </row>
    <row r="24" spans="1:8" ht="15.75">
      <c r="A24" s="128">
        <v>22</v>
      </c>
      <c r="B24" s="132" t="s">
        <v>131</v>
      </c>
      <c r="C24" s="3" t="s">
        <v>19</v>
      </c>
      <c r="D24" s="3">
        <v>41.57</v>
      </c>
      <c r="E24" s="130">
        <f>(42.4+42.44+41.7+42.3+42.51+41.98+41.84+41.68+41.78+41.88+41.57+42.06+41.89+41.97+41.76+41.62)/16</f>
        <v>41.96125</v>
      </c>
      <c r="F24" s="130">
        <v>0.39124999999999943</v>
      </c>
      <c r="G24" s="3">
        <v>6</v>
      </c>
      <c r="H24" s="131">
        <v>19</v>
      </c>
    </row>
    <row r="25" spans="1:8" ht="15.75">
      <c r="A25" s="128">
        <v>23</v>
      </c>
      <c r="B25" s="132" t="s">
        <v>26</v>
      </c>
      <c r="C25" s="3" t="s">
        <v>16</v>
      </c>
      <c r="D25" s="3">
        <v>41.61</v>
      </c>
      <c r="E25" s="130">
        <f>(42.93+42.07+42.04+41.84+42.02+41.96+41.86+41.95+42.03+41.97+41.73+41.74+41.87+41.82+41.63+41.65+41.61+41.93+43.37+42.28+42.08+41.99)/22</f>
        <v>42.016818181818188</v>
      </c>
      <c r="F25" s="130">
        <v>0.40681818181818841</v>
      </c>
      <c r="G25" s="3">
        <v>6</v>
      </c>
      <c r="H25" s="131">
        <v>23</v>
      </c>
    </row>
    <row r="26" spans="1:8" ht="15.75">
      <c r="A26" s="128">
        <v>24</v>
      </c>
      <c r="B26" s="132" t="s">
        <v>25</v>
      </c>
      <c r="C26" s="3" t="s">
        <v>160</v>
      </c>
      <c r="D26" s="3">
        <v>41.74</v>
      </c>
      <c r="E26" s="130">
        <f>(43.58+42.39+42.25+42.71+42.1+42.78+42.17+41.95+41.93+41.82+41.94+42.06+41.99+42.12+41.98+41.96+42.13+41.96+41.96+41.84+42.21+41.89+41.74+41.82)/24</f>
        <v>42.136666666666677</v>
      </c>
      <c r="F26" s="130">
        <v>0.39666666666667538</v>
      </c>
      <c r="G26" s="3">
        <v>6</v>
      </c>
      <c r="H26" s="131">
        <v>25</v>
      </c>
    </row>
    <row r="27" spans="1:8" ht="15.75">
      <c r="A27" s="128">
        <v>25</v>
      </c>
      <c r="B27" s="129" t="s">
        <v>105</v>
      </c>
      <c r="C27" s="3" t="s">
        <v>104</v>
      </c>
      <c r="D27" s="108">
        <v>42.37</v>
      </c>
      <c r="E27" s="130">
        <f>(43.25+42.76+42.51+42.97+44.23+42.61+42.37+43.3+42.41+42.52+42.61+43.05+43.25+43.23+42.58+42.72+42.59+42.49+42.9+43.64+42.7+42.87+42.96+42.88+42.86+43.06+42.67+42.8+46+44.22)/30</f>
        <v>43.033666666666669</v>
      </c>
      <c r="F27" s="130">
        <v>0.66366666666667129</v>
      </c>
      <c r="G27" s="3">
        <v>6</v>
      </c>
      <c r="H27" s="131">
        <v>31</v>
      </c>
    </row>
    <row r="28" spans="1:8" ht="15.75">
      <c r="A28" s="128">
        <v>26</v>
      </c>
      <c r="B28" s="129" t="s">
        <v>110</v>
      </c>
      <c r="C28" s="3" t="s">
        <v>104</v>
      </c>
      <c r="D28" s="3">
        <v>42.42</v>
      </c>
      <c r="E28" s="130">
        <f>(42.8+42.97+43.33+43.01+42.85+43.11+42.57+42.96+42.6+42.47+42.91+42.42+42.85+42.85+42.94+42.87+42.61+42.85+42.88+42.77+44.08+42.97+42.9+43.03+43.28+42.76+43.51+43.71+42.93)/29</f>
        <v>42.958275862068966</v>
      </c>
      <c r="F28" s="130">
        <v>0.53827586206896427</v>
      </c>
      <c r="G28" s="3">
        <v>6</v>
      </c>
      <c r="H28" s="131">
        <v>29</v>
      </c>
    </row>
    <row r="29" spans="1:8" ht="15.75">
      <c r="A29" s="128">
        <v>27</v>
      </c>
      <c r="B29" s="129" t="s">
        <v>105</v>
      </c>
      <c r="C29" s="3" t="s">
        <v>104</v>
      </c>
      <c r="D29" s="3">
        <v>42.42</v>
      </c>
      <c r="E29" s="130">
        <f>(44.29+43.38+48.18+43.72+44.52+43.04+42.97+43.46+43.24+43+42.83+42.86+42.91+43.01+42.65+42.87+43.44+42.66+42.97+42.42+44.76+42.57+42.77+42.47+43.42+42.6+42.92+43.76+42.6+44.23+43.03+42.93+43.03+42.96+42.91+42.71+42.91+42.65+42.53)/39</f>
        <v>43.235384615384618</v>
      </c>
      <c r="F29" s="130">
        <v>0.81538461538461604</v>
      </c>
      <c r="G29" s="3">
        <v>6</v>
      </c>
      <c r="H29" s="131">
        <v>40</v>
      </c>
    </row>
    <row r="30" spans="1:8" ht="15.75">
      <c r="A30" s="128">
        <v>28</v>
      </c>
      <c r="B30" s="129" t="s">
        <v>28</v>
      </c>
      <c r="C30" s="3" t="s">
        <v>151</v>
      </c>
      <c r="D30" s="3">
        <v>43.69</v>
      </c>
      <c r="E30" s="135">
        <f>(61.12+61.97+62.13+61.2+60.44+59.44+55.32+52.73+49.97+48.46+43.69)/11</f>
        <v>56.042727272727276</v>
      </c>
      <c r="F30" s="130">
        <v>12.352727272727279</v>
      </c>
      <c r="G30" s="3">
        <v>6</v>
      </c>
      <c r="H30" s="131">
        <v>13</v>
      </c>
    </row>
    <row r="31" spans="1:8" ht="15.75">
      <c r="A31" s="128">
        <v>29</v>
      </c>
      <c r="B31" s="129" t="s">
        <v>25</v>
      </c>
      <c r="C31" s="3" t="s">
        <v>160</v>
      </c>
      <c r="D31" s="3">
        <v>51.15</v>
      </c>
      <c r="E31" s="135">
        <f>(55.76+51.15+55.27+68.77+60.83+60.85+60.43+60.78+61.23+62.87+75.25+60.79+67.43+61+60.48)/15</f>
        <v>61.526000000000003</v>
      </c>
      <c r="F31" s="130">
        <v>10.376000000000005</v>
      </c>
      <c r="G31" s="3">
        <v>6</v>
      </c>
      <c r="H31" s="131">
        <v>16</v>
      </c>
    </row>
    <row r="32" spans="1:8" ht="15.75">
      <c r="A32" s="128">
        <v>30</v>
      </c>
      <c r="B32" s="129" t="s">
        <v>18</v>
      </c>
      <c r="C32" s="3" t="s">
        <v>19</v>
      </c>
      <c r="D32" s="108">
        <v>40.98</v>
      </c>
      <c r="E32" s="130">
        <f>(41.89+41.59+41.34+41.39+42.22+41.51+41.48+41.3+41.3+41.65+41.36+41.28+41.36+41.16+41.37+41.3+41.42+41.29+41.28+41.04+41.04+41.31+41.23+41.38+41.3+41.34+41.22+41.64+43.93+41.62+40.98+41.21+41.05+41.04+41.13+41.07+41.01+41.3+41.26+41.21+41.34+41.62+41.71+41.6+41.77+41.21+41.4+41.07+41.28+41.09+41+41.21+41.44+41.41+41.25+41.26+41.47+41.41+41.49+41.31)/60</f>
        <v>41.385666666666658</v>
      </c>
      <c r="F32" s="130">
        <v>0.40566666666666151</v>
      </c>
      <c r="G32" s="3">
        <v>7</v>
      </c>
      <c r="H32" s="131">
        <v>61</v>
      </c>
    </row>
    <row r="33" spans="1:8" ht="15.75">
      <c r="A33" s="128">
        <v>31</v>
      </c>
      <c r="B33" s="132" t="s">
        <v>18</v>
      </c>
      <c r="C33" s="3" t="s">
        <v>19</v>
      </c>
      <c r="D33" s="3">
        <v>41.12</v>
      </c>
      <c r="E33" s="130">
        <f>(42.16+41.81+41.94+42.06+41.4+41.66+41.45+41.74+41.37+41.32+41.21+41.81+42.46+42.21+41.65+41.56+41.61+41.12+41.2+41.24+41.37+41.29+41.21+41.14+41.26+41.31+41.33+41.15+41.45+41.41+41.76+41.46+41.26+41.13+41.37+41.32+41.6+41.43+41.25+41.19+41.29+41.46+41.6+41.39+41.57+41.23+41.36)/47</f>
        <v>41.480212765957447</v>
      </c>
      <c r="F33" s="130">
        <v>0.36021276595744922</v>
      </c>
      <c r="G33" s="3">
        <v>7</v>
      </c>
      <c r="H33" s="131">
        <v>48</v>
      </c>
    </row>
    <row r="34" spans="1:8" ht="15.75">
      <c r="A34" s="128">
        <v>32</v>
      </c>
      <c r="B34" s="129" t="s">
        <v>22</v>
      </c>
      <c r="C34" s="3" t="s">
        <v>161</v>
      </c>
      <c r="D34" s="3">
        <v>41.23</v>
      </c>
      <c r="E34" s="130">
        <f>(42.1+41.57+41.57+41.43+41.42+41.48+41.31+41.32+41.36+41.51+41.31+41.24+41.43+41.39+41.37+41.43+41.35+41.25+41.42+41.61+41.42+41.59+41.48+41.32+41.25+41.23+41.43+41.46+41.52+41.36+41.44)/31</f>
        <v>41.431290322580644</v>
      </c>
      <c r="F34" s="130">
        <v>0.20129032258064683</v>
      </c>
      <c r="G34" s="3">
        <v>7</v>
      </c>
      <c r="H34" s="131">
        <v>32</v>
      </c>
    </row>
    <row r="35" spans="1:8" ht="15.75">
      <c r="A35" s="128">
        <v>33</v>
      </c>
      <c r="B35" s="132" t="s">
        <v>29</v>
      </c>
      <c r="C35" s="3" t="s">
        <v>151</v>
      </c>
      <c r="D35" s="3">
        <v>41.31</v>
      </c>
      <c r="E35" s="130">
        <f>(42.35+42.38+44.44+43.27+42.48+41.94+41.6+41.8+41.75+41.41+41.63+41.74+41.44+41.14+43.19+42.31+41.77+41.67+41.58+41.45+41.48+41.64+41.68+41.42+41.31+41.33+41.35+41.58+41.56+41.89+41.59+41.48)/32</f>
        <v>41.864062499999989</v>
      </c>
      <c r="F35" s="130">
        <v>0.55406249999998636</v>
      </c>
      <c r="G35" s="3">
        <v>7</v>
      </c>
      <c r="H35" s="131">
        <v>32</v>
      </c>
    </row>
    <row r="36" spans="1:8" ht="15.75">
      <c r="A36" s="128">
        <v>34</v>
      </c>
      <c r="B36" s="129" t="s">
        <v>122</v>
      </c>
      <c r="C36" s="3" t="s">
        <v>117</v>
      </c>
      <c r="D36" s="3">
        <v>41.89</v>
      </c>
      <c r="E36" s="135">
        <f>(43.96+42.16+56.04+61.81+61.76+66.9+61.59+61.86+55.05+52.62+50.14+47.39+45.9+44.63+43.31+43.05+42.46+42.07+42.12+42.09+42.09+41.89+41.98)/23</f>
        <v>49.255217391304356</v>
      </c>
      <c r="F36" s="130">
        <v>7.3652173913043555</v>
      </c>
      <c r="G36" s="3">
        <v>7</v>
      </c>
      <c r="H36" s="131">
        <v>25</v>
      </c>
    </row>
    <row r="37" spans="1:8" ht="15.75">
      <c r="A37" s="128">
        <v>35</v>
      </c>
      <c r="B37" s="129" t="s">
        <v>29</v>
      </c>
      <c r="C37" s="3" t="s">
        <v>151</v>
      </c>
      <c r="D37" s="3">
        <v>41.15</v>
      </c>
      <c r="E37" s="130">
        <f>(42.26+41.87+41.22+41.38+41.4+41.46+42.05+42.37+41.46+41.77+41.48+41.21+41.15+41.21+41.28+41.39+41.56+41.45+41.42+41.15+41.36+41.32+41.49+41.53+41.57+41.48+41.34+41.69+41.29+41.54+41.4+41.46+41.23+41.36+41.62+41.79+41.68+41.22+41.83+41.67+41.52+41.36+41.72+41.56+41.5+41.31+41.44+41.33+41.34+41.36+41.37+41.21+41.92+41.52+41.66+41.63+41.49+41.69+41.63+41.49+41.56+41.42+41.46+41.47+41.45+41.42+41.35+41.43+41.41)/69</f>
        <v>41.498985507246353</v>
      </c>
      <c r="F37" s="130">
        <v>0.34898550724635413</v>
      </c>
      <c r="G37" s="3">
        <v>9</v>
      </c>
      <c r="H37" s="131">
        <v>70</v>
      </c>
    </row>
    <row r="38" spans="1:8" ht="15.75">
      <c r="A38" s="128">
        <v>36</v>
      </c>
      <c r="B38" s="129" t="s">
        <v>21</v>
      </c>
      <c r="C38" s="3" t="s">
        <v>159</v>
      </c>
      <c r="D38" s="108">
        <v>41.23</v>
      </c>
      <c r="E38" s="130">
        <f>(41.91+41.37+41.35+41.46+42.02+41.42+41.51+41.59+42.15+41.42+41.41+41.49+41.49+41.67+41.74+41.23+41.46+41.53+41.33+41.5+41.52+41.68+41.42+41.3+41.35+41.3+41.57+41.48+41.47+41.35+41.89+41.46+41.83+41.57+41.45+41.51+41.52+41.51+41.37+41.3+41.34+41.42+41.58+41.34+42.15+41.73+41.81+41.49+41.61+41.56+41.66+41.63+41.47+41.51+41.62+41.55+41.57+41.57+41.7+42.04+44.11+42.24)/62</f>
        <v>41.606451612903214</v>
      </c>
      <c r="F38" s="130">
        <v>0.37645161290321738</v>
      </c>
      <c r="G38" s="3">
        <v>9</v>
      </c>
      <c r="H38" s="131">
        <v>63</v>
      </c>
    </row>
    <row r="39" spans="1:8" ht="15.75">
      <c r="A39" s="128">
        <v>37</v>
      </c>
      <c r="B39" s="129" t="s">
        <v>122</v>
      </c>
      <c r="C39" s="3" t="s">
        <v>117</v>
      </c>
      <c r="D39" s="3">
        <v>41.33</v>
      </c>
      <c r="E39" s="130">
        <f>(42.34+41.56+41.7+41.64+41.63+41.58+41.77+41.65+41.42+41.69+41.65+41.68+41.62+41.54+41.43+41.77+41.48+41.52+41.56+41.7+41.6+41.47+41.44+41.33+41.48+41.61+41.6+41.56+41.79+42.44+41.69+41.74+41.57+41.76)/34</f>
        <v>41.647352941176457</v>
      </c>
      <c r="F39" s="130">
        <v>0.31735294117645907</v>
      </c>
      <c r="G39" s="3">
        <v>9</v>
      </c>
      <c r="H39" s="131">
        <v>35</v>
      </c>
    </row>
    <row r="40" spans="1:8" ht="15.75">
      <c r="A40" s="128">
        <v>38</v>
      </c>
      <c r="B40" s="129" t="s">
        <v>131</v>
      </c>
      <c r="C40" s="3" t="s">
        <v>19</v>
      </c>
      <c r="D40" s="3">
        <v>41.91</v>
      </c>
      <c r="E40" s="135">
        <f>(48.3+44.28+43.48+42.55+42.62+42.51+42.54+42.34+42.25+41.91+42.12+43.49+53.41+56.34+55.97+61.72+63.47+64.17+63.52+63.81+65.28+63.65+65.02+63.87+65.58+62.02+61.85)/27</f>
        <v>53.632222222222211</v>
      </c>
      <c r="F40" s="130">
        <v>11.722222222222214</v>
      </c>
      <c r="G40" s="3">
        <v>9</v>
      </c>
      <c r="H40" s="131">
        <v>28</v>
      </c>
    </row>
    <row r="41" spans="1:8" ht="15.75">
      <c r="A41" s="128">
        <v>39</v>
      </c>
      <c r="B41" s="129" t="s">
        <v>118</v>
      </c>
      <c r="C41" s="3" t="s">
        <v>117</v>
      </c>
      <c r="D41" s="108">
        <v>41.27</v>
      </c>
      <c r="E41" s="130">
        <f>(42.45+41.42+41.48+41.65+41.41+41.89+41.98+41.49+41.37+41.42+41.68+41.35+41.62+41.82+41.68+41.51+41.27+41.47+41.68+41.39+41.96+41.89+41.43+41.66+41.51+41.57+41.46+41.52+41.56+41.65+41.49+41.59+41.61+41.67+41.65+41.66+41.59+41.61+41.76+41.43+42.86+41.85+41.99+42+42.02+41.67+41.75+42.03+41.69+42.09+41.69+41.81+41.72+41.54+41.66)/55</f>
        <v>41.68490909090908</v>
      </c>
      <c r="F41" s="130">
        <v>0.41490909090907735</v>
      </c>
      <c r="G41" s="3">
        <v>9</v>
      </c>
      <c r="H41" s="131">
        <v>56</v>
      </c>
    </row>
    <row r="42" spans="1:8" ht="15.75">
      <c r="A42" s="128">
        <v>40</v>
      </c>
      <c r="B42" s="129" t="s">
        <v>122</v>
      </c>
      <c r="C42" s="3" t="s">
        <v>117</v>
      </c>
      <c r="D42" s="3">
        <v>41.58</v>
      </c>
      <c r="E42" s="130">
        <f>(42.56+42.16+43.53+42.12+41.83+41.92+41.99+41.98+41.85+41.81+41.58+41.92+41.71+41.82+43.57+42.85+41.82+41.65+41.7)/19</f>
        <v>42.124736842105278</v>
      </c>
      <c r="F42" s="130">
        <v>0.54473684210528006</v>
      </c>
      <c r="G42" s="3">
        <v>10</v>
      </c>
      <c r="H42" s="131">
        <v>19</v>
      </c>
    </row>
    <row r="43" spans="1:8" ht="15.75">
      <c r="A43" s="128">
        <v>41</v>
      </c>
      <c r="B43" s="129" t="s">
        <v>118</v>
      </c>
      <c r="C43" s="3" t="s">
        <v>117</v>
      </c>
      <c r="D43" s="3">
        <v>41.72</v>
      </c>
      <c r="E43" s="130">
        <f>(42.58+42.26+42.03+41.9+42.22+42.09+42.16+42.01+41.97+42.01+41.88+42.15+42.23+42.12+42.11+42.07+42.38+42.12+42.17+42.38+42.04+42.05+42.07+41.98+41.88+42+42.01+41.82+42.33+41.83+42.29+41.79+42.86+41.93+41.92+41.86+41.87+46.24+41.93+41.78+41.72+41.75+42.12+42.47)/44</f>
        <v>42.167727272727262</v>
      </c>
      <c r="F43" s="130">
        <v>0.44772727272726343</v>
      </c>
      <c r="G43" s="3">
        <v>10</v>
      </c>
      <c r="H43" s="131">
        <v>45</v>
      </c>
    </row>
    <row r="44" spans="1:8" ht="15.75">
      <c r="A44" s="128">
        <v>42</v>
      </c>
      <c r="B44" s="129" t="s">
        <v>32</v>
      </c>
      <c r="C44" s="3" t="s">
        <v>159</v>
      </c>
      <c r="D44" s="3">
        <v>41.86</v>
      </c>
      <c r="E44" s="130">
        <f>(43.96+42.51+42.37+42.11+42.05+42.04+42.33+42.53+43.51+41.98+41.86+41.94+42.42+42.22+42.02+41.95+42.04+41.86+41.91)/19</f>
        <v>42.295263157894738</v>
      </c>
      <c r="F44" s="130">
        <v>0.43526315789473813</v>
      </c>
      <c r="G44" s="3">
        <v>10</v>
      </c>
      <c r="H44" s="131">
        <v>20</v>
      </c>
    </row>
    <row r="45" spans="1:8" ht="15.75">
      <c r="A45" s="128">
        <v>43</v>
      </c>
      <c r="B45" s="129" t="s">
        <v>108</v>
      </c>
      <c r="C45" s="3" t="s">
        <v>104</v>
      </c>
      <c r="D45" s="3">
        <v>41.86</v>
      </c>
      <c r="E45" s="130">
        <f>(43.11+42.23+42.88+43.77+42.02+43.22+42.03+41.86+42.1+41.75+41.94+41.83+42.24+42.26+42.31+42.12+42.54+42.42+42.45+42.55+42.06+42.7+43.18+42.95+42.25+42.42+42.55+42.74+42.4+42.71+42.34+43.38+41.98+42.26+42.18+42.32+42.17+42.27+42.32+42.35+43.34+42.56+43.05+41.96+42.51+42.21+42.67+42.42+42.73+42.62+42.45+42.78+42.37+42.73+42.26+42.61+42.34+42.6+42.07+43.58+43.64+42.14)/62</f>
        <v>42.49677419354839</v>
      </c>
      <c r="F45" s="130">
        <v>0.6367741935483906</v>
      </c>
      <c r="G45" s="3">
        <v>10</v>
      </c>
      <c r="H45" s="131">
        <v>63</v>
      </c>
    </row>
    <row r="46" spans="1:8" ht="15.75">
      <c r="A46" s="128">
        <v>44</v>
      </c>
      <c r="B46" s="129" t="s">
        <v>101</v>
      </c>
      <c r="C46" s="3" t="s">
        <v>20</v>
      </c>
      <c r="D46" s="3">
        <v>44.33</v>
      </c>
      <c r="E46" s="135">
        <f>(45.13+44.33+53.09+72.8+67.11+66.26+66.97+76.03+62.56+67.05+60.27+56.34+59.51+50.45+48.24+47.31+45.57+44.74)/18</f>
        <v>57.431111111111107</v>
      </c>
      <c r="F46" s="130">
        <v>13.101111111111109</v>
      </c>
      <c r="G46" s="3">
        <v>10</v>
      </c>
      <c r="H46" s="131">
        <v>20</v>
      </c>
    </row>
    <row r="47" spans="1:8" ht="15.75">
      <c r="A47" s="128">
        <v>45</v>
      </c>
      <c r="B47" s="129" t="s">
        <v>108</v>
      </c>
      <c r="C47" s="3" t="s">
        <v>104</v>
      </c>
      <c r="D47" s="108">
        <v>41.82</v>
      </c>
      <c r="E47" s="130">
        <f>(44.58+42.34+43.02+42.27+42.46+42.56+42.49+42.17+43.2+42.44+43.18+42.66+42.21+42.5+42.19+42.39+42.38+42.3+42.2+43.11+42.31+42.5+42.37+42.16+42.19+42.5+42.28+42.38+42.17+42.57+42.69+42.59+42.6+42.4+42.19+42.98+41.82+42.39+42.51+42.24+42.34+42.37+42.51)/43</f>
        <v>42.504883720930231</v>
      </c>
      <c r="F47" s="130">
        <v>0.68488372093023031</v>
      </c>
      <c r="G47" s="3">
        <v>10</v>
      </c>
      <c r="H47" s="131">
        <v>44</v>
      </c>
    </row>
    <row r="48" spans="1:8" ht="15.75">
      <c r="A48" s="128">
        <v>46</v>
      </c>
      <c r="B48" s="129" t="s">
        <v>31</v>
      </c>
      <c r="C48" s="3" t="s">
        <v>159</v>
      </c>
      <c r="D48" s="108">
        <v>41.23</v>
      </c>
      <c r="E48" s="130">
        <f>(42.53+42.06+41.89+41.64+41.71+41.54+42.1+41.71+41.89+41.74+41.64+41.58+41.77+41.58+41.37+41.41+41.48+41.5+41.81+41.41+41.38+41.52+41.69+41.52+41.47+41.5+41.46+41.57+41.37+41.44+41.23+41.39+41.57+41.46+41.32+41.39+41.5)/37</f>
        <v>41.598378378378378</v>
      </c>
      <c r="F48" s="130">
        <v>0.36837837837838094</v>
      </c>
      <c r="G48" s="3">
        <v>11</v>
      </c>
      <c r="H48" s="131">
        <v>38</v>
      </c>
    </row>
    <row r="49" spans="1:8" ht="15.75">
      <c r="A49" s="128">
        <v>47</v>
      </c>
      <c r="B49" s="132" t="s">
        <v>27</v>
      </c>
      <c r="C49" s="3" t="s">
        <v>16</v>
      </c>
      <c r="D49" s="3">
        <v>41.58</v>
      </c>
      <c r="E49" s="135">
        <f>(44.48+42.51+46.45+61.29+61.91+61.96+62.15+61.4+60.88+60.49+59.29+58.35+55.25+52.76+48.77+44.9+43.31+42.34+42.07+41.64+41.58)/21</f>
        <v>52.084761904761905</v>
      </c>
      <c r="F49" s="130">
        <v>10.504761904761907</v>
      </c>
      <c r="G49" s="3">
        <v>11</v>
      </c>
      <c r="H49" s="131">
        <v>23</v>
      </c>
    </row>
    <row r="50" spans="1:8" ht="15.75">
      <c r="A50" s="128">
        <v>48</v>
      </c>
      <c r="B50" s="129" t="s">
        <v>33</v>
      </c>
      <c r="C50" s="3" t="s">
        <v>20</v>
      </c>
      <c r="D50" s="108">
        <v>41.95</v>
      </c>
      <c r="E50" s="130">
        <f>(44.48+44.58+43.71+42.59+43.24+43.26+42.85+42.8+42.74+42.33+42.85+42.65+42.81+42.3+42.85+42.83+43.31+43.29+43.71+43.82+42.77+43.3+42+42.87+42.72+42.99+42.9+42.46+43.36+41.95+42.86+42.39+42.6+42.52+43.74+43.18+42.37+42.33+43.01+43.43+42.96+42.55+42.18+42.68+42.9+43.22+42.81+42.41+42.3+42.33+42.68+42.41+42.37+42.38+42.24+42.8+42.06+42.19)/58</f>
        <v>42.831379310344822</v>
      </c>
      <c r="F50" s="130">
        <v>0.88137931034481909</v>
      </c>
      <c r="G50" s="3">
        <v>11</v>
      </c>
      <c r="H50" s="131">
        <v>59</v>
      </c>
    </row>
    <row r="51" spans="1:8" ht="15.75">
      <c r="A51" s="128">
        <v>49</v>
      </c>
      <c r="B51" s="129" t="s">
        <v>122</v>
      </c>
      <c r="C51" s="3" t="s">
        <v>117</v>
      </c>
      <c r="D51" s="3">
        <v>52.85</v>
      </c>
      <c r="E51" s="135">
        <f>(55.52+52.85+57.97+61.32+61.77+62.89+63.88+62.57+62.67+62.57+62.08+62.38+61.63+62.06+61.3)/15</f>
        <v>60.897333333333336</v>
      </c>
      <c r="F51" s="130">
        <v>8.0473333333333343</v>
      </c>
      <c r="G51" s="3">
        <v>11</v>
      </c>
      <c r="H51" s="131">
        <v>16</v>
      </c>
    </row>
    <row r="52" spans="1:8" ht="15.75">
      <c r="A52" s="128">
        <v>50</v>
      </c>
      <c r="B52" s="129" t="s">
        <v>31</v>
      </c>
      <c r="C52" s="3" t="s">
        <v>159</v>
      </c>
      <c r="D52" s="3">
        <v>41.4</v>
      </c>
      <c r="E52" s="130">
        <f>(42.12+41.7+41.51+41.51+41.83+41.46+41.72+41.8+41.43+41.44+41.48+41.71+41.54+41.67+41.43+41.58+41.64+41.71+41.56+41.5+41.45+41.42+41.64+41.4+41.98+41.69+41.49+41.52+41.63+41.47+41.47+41.54+41.7+41.71+41.48+41.63+41.59+42.26+41.67+41.65+41.67+41.57+41.67+41.66+41.73+41.52+41.81+41.81+41.56+41.63+41.84+42.06+41.53+41.89+41.5+41.44+42.02+41.48+41.5+41.57)/60</f>
        <v>41.636500000000005</v>
      </c>
      <c r="F52" s="130">
        <v>0.23650000000000659</v>
      </c>
      <c r="G52" s="3">
        <v>11</v>
      </c>
      <c r="H52" s="131">
        <v>61</v>
      </c>
    </row>
    <row r="53" spans="1:8" ht="15.75">
      <c r="A53" s="128">
        <v>51</v>
      </c>
      <c r="B53" s="129" t="s">
        <v>27</v>
      </c>
      <c r="C53" s="3" t="s">
        <v>16</v>
      </c>
      <c r="D53" s="108">
        <v>41.07</v>
      </c>
      <c r="E53" s="130">
        <f>(42.13+41.62+41.55+41.47+41.24+41.26+41.39+41.42+41.08+41.29+41.8+41.29+41.89+41.32+41.39+41.26+41.38+41.28+41.32+41.34+41.41+41.32+41.25+41.25+41.08+41.16+41.38+41.54+41.3+41.37+41.24+41.07+41.21+41.32+41.48+41.41+41.29+41.28+41.19+41.49+41.23+41.28+41.25+41.21+41.21+41.11+41.37+41.37+41.34+41.54+41.22+41.45+41.15+41.31+41.38+41.22+41.39+41.42+41.96+41.74+41.45+41.54+41.46+41.28+41.27+41.41)/66</f>
        <v>41.36848484848484</v>
      </c>
      <c r="F53" s="130">
        <v>0.29848484848483992</v>
      </c>
      <c r="G53" s="3">
        <v>12</v>
      </c>
      <c r="H53" s="131">
        <v>68</v>
      </c>
    </row>
    <row r="54" spans="1:8" ht="15.75">
      <c r="A54" s="128">
        <v>52</v>
      </c>
      <c r="B54" s="129" t="s">
        <v>29</v>
      </c>
      <c r="C54" s="3" t="s">
        <v>151</v>
      </c>
      <c r="D54" s="108">
        <v>41.13</v>
      </c>
      <c r="E54" s="130">
        <f>(42.8+41.46+41.38+42.48+41.3+41.84+41.69+41.71+41.65+41.3+41.6+41.74+41.36+41.44+41.26+41.34+41.5+41.28+41.51+41.26+41.57+42.3+41.42+41.13+41.39+41.23+41.13+41.48+41.15+41.29+41.46+41.52+41.86+41.73+41.66+41.64+41.73+41.55+41.72+41.86+41.59+41.46+41.47+41.28+42.02+41.69+44.95+42.64+42.78+55.62)/50</f>
        <v>41.964400000000005</v>
      </c>
      <c r="F54" s="130">
        <v>0.83440000000000225</v>
      </c>
      <c r="G54" s="3">
        <v>12</v>
      </c>
      <c r="H54" s="131">
        <v>51</v>
      </c>
    </row>
    <row r="55" spans="1:8" ht="15.75">
      <c r="A55" s="128">
        <v>53</v>
      </c>
      <c r="B55" s="129" t="s">
        <v>21</v>
      </c>
      <c r="C55" s="3" t="s">
        <v>159</v>
      </c>
      <c r="D55" s="3">
        <v>41.25</v>
      </c>
      <c r="E55" s="130">
        <f>(42.26+41.65+41.47+41.44+41.35+41.38+41.54+41.94+41.46+41.27+41.63+41.36+41.32+41.46+41.48+41.25+41.37+41.26+41.35+41.36+41.94+42.05+41.47+41.44+41.29+41.27+41.33)/27</f>
        <v>41.495925925925924</v>
      </c>
      <c r="F55" s="130">
        <v>0.2459259259259241</v>
      </c>
      <c r="G55" s="3">
        <v>12</v>
      </c>
      <c r="H55" s="131">
        <v>28</v>
      </c>
    </row>
    <row r="56" spans="1:8" ht="15.75">
      <c r="A56" s="128">
        <v>54</v>
      </c>
      <c r="B56" s="129" t="s">
        <v>131</v>
      </c>
      <c r="C56" s="3" t="s">
        <v>19</v>
      </c>
      <c r="D56" s="108">
        <v>41.34</v>
      </c>
      <c r="E56" s="130">
        <f>(42.37+41.46+41.38+41.75+41.41+41.43+41.47+41.5+43.1+41.65+41.6+41.41+41.7+41.34+41.9+41.54+41.51+41.64+42.06+42.84+41.52+41.48+41.68)/23</f>
        <v>41.727826086956519</v>
      </c>
      <c r="F56" s="130">
        <v>0.38782608695651533</v>
      </c>
      <c r="G56" s="3">
        <v>12</v>
      </c>
      <c r="H56" s="131">
        <v>23</v>
      </c>
    </row>
    <row r="57" spans="1:8" ht="15.75">
      <c r="A57" s="128">
        <v>55</v>
      </c>
      <c r="B57" s="129" t="s">
        <v>26</v>
      </c>
      <c r="C57" s="3" t="s">
        <v>16</v>
      </c>
      <c r="D57" s="3">
        <v>42.22</v>
      </c>
      <c r="E57" s="135">
        <f>(42.22+42.85+43.96+42.94+49.78+50.98+49.54+56.81+63.15+62.17+62.36+62.45+62.9+62.17+61.44+61.64+61.17+61.42+61.08+60.95)/20</f>
        <v>56.099000000000004</v>
      </c>
      <c r="F57" s="130">
        <v>13.879000000000005</v>
      </c>
      <c r="G57" s="3">
        <v>12</v>
      </c>
      <c r="H57" s="131">
        <v>21</v>
      </c>
    </row>
    <row r="58" spans="1:8" ht="15.75">
      <c r="A58" s="128">
        <v>56</v>
      </c>
      <c r="B58" s="129" t="s">
        <v>23</v>
      </c>
      <c r="C58" s="3" t="s">
        <v>161</v>
      </c>
      <c r="D58" s="108">
        <v>41.32</v>
      </c>
      <c r="E58" s="130">
        <f>(42.53+42.16+41.95+41.93+41.94+42.25+41.78+41.66+41.45+41.5+41.32+41.54+41.67+41.46+41.6+41.77+41.73+41.99+41.67+41.88+42.07+42.21+41.86+41.64+41.91+42.03+42.16+41.78+41.89+41.88+42.08+41.8+41.77+41.84+41.56+41.88+41.79+43.08+41.65+41.47+41.56+41.79+41.77+41.41+41.59+41.51+41.56+41.62)/48</f>
        <v>41.811249999999994</v>
      </c>
      <c r="F58" s="130">
        <v>0.49124999999999375</v>
      </c>
      <c r="G58" s="3">
        <v>12</v>
      </c>
      <c r="H58" s="131">
        <v>49</v>
      </c>
    </row>
    <row r="59" spans="1:8" ht="15.75">
      <c r="A59" s="128">
        <v>57</v>
      </c>
      <c r="B59" s="129" t="s">
        <v>29</v>
      </c>
      <c r="C59" s="3" t="s">
        <v>151</v>
      </c>
      <c r="D59" s="3">
        <v>41.2</v>
      </c>
      <c r="E59" s="130">
        <f>(42.38+41.66+41.76+41.31+41.35+41.68+41.7+41.42+41.63+41.4+41.48+41.28+41.34+41.22+41.2+41.43+41.38+41.55+41.84+41.53+41.35)/21</f>
        <v>41.518571428571427</v>
      </c>
      <c r="F59" s="130">
        <v>0.31857142857142406</v>
      </c>
      <c r="G59" s="3">
        <v>13</v>
      </c>
      <c r="H59" s="131">
        <v>22</v>
      </c>
    </row>
    <row r="60" spans="1:8" ht="15.75">
      <c r="A60" s="128">
        <v>58</v>
      </c>
      <c r="B60" s="129" t="s">
        <v>26</v>
      </c>
      <c r="C60" s="3" t="s">
        <v>16</v>
      </c>
      <c r="D60" s="3">
        <v>41.4</v>
      </c>
      <c r="E60" s="130">
        <f>(43.04+42.14+42.09+41.89+41.76+41.77+41.77+41.85+41.52+41.96+41.58+41.75+41.78+42.56+41.7+41.59+41.61+41.46+41.48+41.4+41.86+41.5+41.76+41.48+41.65+41.58+41.68+41.63+41.58+41.49+41.64+41.73+41.65+41.65+42.63+41.66+41.77+41.69+41.74+41.64)/40</f>
        <v>41.767750000000021</v>
      </c>
      <c r="F60" s="130">
        <v>0.36775000000002223</v>
      </c>
      <c r="G60" s="3">
        <v>13</v>
      </c>
      <c r="H60" s="131">
        <v>41</v>
      </c>
    </row>
    <row r="61" spans="1:8" ht="15.75">
      <c r="A61" s="128">
        <v>59</v>
      </c>
      <c r="B61" s="129" t="s">
        <v>101</v>
      </c>
      <c r="C61" s="3" t="s">
        <v>20</v>
      </c>
      <c r="D61" s="108">
        <v>41.9</v>
      </c>
      <c r="E61" s="130">
        <f>(43.53+44.24+43.56+42.59+42.7+42.66+42.56+42.23+42.32+42.56+42.69+42.84+42.91+42.48+42.56+42.8+43.12+42.32+42.9+42.67+43.34+43.5+43.24+42.7+43.65+42.61+46.59+42.93+42.8+41.9+42.46+42.71+42.79+42.57+42.9+42.39+43.14+42.6+42.45)/39</f>
        <v>42.910512820512828</v>
      </c>
      <c r="F61" s="130">
        <v>1.0105128205128295</v>
      </c>
      <c r="G61" s="3">
        <v>13</v>
      </c>
      <c r="H61" s="131">
        <v>39</v>
      </c>
    </row>
    <row r="62" spans="1:8" ht="15.75">
      <c r="A62" s="128">
        <v>60</v>
      </c>
      <c r="B62" s="129" t="s">
        <v>101</v>
      </c>
      <c r="C62" s="3" t="s">
        <v>20</v>
      </c>
      <c r="D62" s="3">
        <v>41.91</v>
      </c>
      <c r="E62" s="130">
        <f>(43.06+42.83+42.32+42.37+44.39+42.25+43.4+42.01+42.27+42.53+41.97+41.95+42.9+42.17+42.81+42.18+43.58+42.28+42.48+42.87+42.13+42.1+43.2+42.31+43.18+42.17+42.17+42.07+41.91+42.14+41.92+41.91+42.12+42.06+42.04+41.97)/36</f>
        <v>42.445000000000014</v>
      </c>
      <c r="F62" s="130">
        <v>0.53500000000001791</v>
      </c>
      <c r="G62" s="3">
        <v>13</v>
      </c>
      <c r="H62" s="131">
        <v>37</v>
      </c>
    </row>
    <row r="63" spans="1:8" ht="15.75">
      <c r="A63" s="128">
        <v>61</v>
      </c>
      <c r="B63" s="129" t="s">
        <v>24</v>
      </c>
      <c r="C63" s="3" t="s">
        <v>160</v>
      </c>
      <c r="D63" s="3">
        <v>41.97</v>
      </c>
      <c r="E63" s="135">
        <f>(61.89+63.07+65.77+62.31+63.49+60.86+75.88+58.14+53.59+50.22+47.87+46.83+45.31+43.99+43.48+44.42+42.44+42.47+42.2+42.02+42.84+41.97)/22</f>
        <v>51.866363636363637</v>
      </c>
      <c r="F63" s="130">
        <v>9.8963636363636382</v>
      </c>
      <c r="G63" s="3">
        <v>13</v>
      </c>
      <c r="H63" s="131">
        <v>23</v>
      </c>
    </row>
    <row r="64" spans="1:8" ht="15.75">
      <c r="A64" s="128">
        <v>62</v>
      </c>
      <c r="B64" s="129" t="s">
        <v>131</v>
      </c>
      <c r="C64" s="3" t="s">
        <v>19</v>
      </c>
      <c r="D64" s="3">
        <v>41.62</v>
      </c>
      <c r="E64" s="130">
        <f>(42.69+41.97+42.09+42.22+41.91+41.8+41.89+42+42.16+41.85+41.62+41.91+41.98+41.96+42.67+42.05+41.89+42.17+42.57+42.36+41.97+42.19+42.18+42.02+41.73)/25</f>
        <v>42.073999999999998</v>
      </c>
      <c r="F64" s="130">
        <v>0.45400000000000063</v>
      </c>
      <c r="G64" s="3">
        <v>15</v>
      </c>
      <c r="H64" s="131">
        <v>26</v>
      </c>
    </row>
    <row r="65" spans="1:8" ht="15.75">
      <c r="A65" s="128">
        <v>63</v>
      </c>
      <c r="B65" s="129" t="s">
        <v>24</v>
      </c>
      <c r="C65" s="3" t="s">
        <v>160</v>
      </c>
      <c r="D65" s="3">
        <v>41.67</v>
      </c>
      <c r="E65" s="130">
        <f>(42.89+41.9+43.81+43.23+42.95+42.14+42.15+42.35+41.7+42.19+41.93+41.83+42.16+42.29+43.12+41.68+41.8+41.99+41.9+42.16+42.1+41.67+41.95)/23</f>
        <v>42.256086956521727</v>
      </c>
      <c r="F65" s="130">
        <v>0.58608695652172571</v>
      </c>
      <c r="G65" s="3">
        <v>15</v>
      </c>
      <c r="H65" s="131">
        <v>24</v>
      </c>
    </row>
    <row r="66" spans="1:8" ht="15.75">
      <c r="A66" s="128">
        <v>64</v>
      </c>
      <c r="B66" s="129" t="s">
        <v>108</v>
      </c>
      <c r="C66" s="3" t="s">
        <v>104</v>
      </c>
      <c r="D66" s="3">
        <v>46.96</v>
      </c>
      <c r="E66" s="135">
        <f>(76.19+65.06+74.19+61+58.25+55.67+54.17+50+46.96)/9</f>
        <v>60.165555555555557</v>
      </c>
      <c r="F66" s="130">
        <v>13.205555555555556</v>
      </c>
      <c r="G66" s="3">
        <v>15</v>
      </c>
      <c r="H66" s="131">
        <v>11</v>
      </c>
    </row>
    <row r="67" spans="1:8" ht="15.75">
      <c r="A67" s="128">
        <v>65</v>
      </c>
      <c r="B67" s="129" t="s">
        <v>98</v>
      </c>
      <c r="C67" s="3" t="s">
        <v>20</v>
      </c>
      <c r="D67" s="3">
        <v>48.32</v>
      </c>
      <c r="E67" s="135">
        <f>(48.32+46.84+60.22+55.35+56.63+68.17+68.21+63.58+64.8+63.83+62.36+62.58+63.25+72.67+61.9+62.48+68.05)/17</f>
        <v>61.72</v>
      </c>
      <c r="F67" s="130">
        <v>13.399999999999999</v>
      </c>
      <c r="G67" s="3">
        <v>15</v>
      </c>
      <c r="H67" s="131">
        <v>18</v>
      </c>
    </row>
    <row r="68" spans="1:8" ht="15.75">
      <c r="A68" s="128">
        <v>66</v>
      </c>
      <c r="B68" s="129" t="s">
        <v>98</v>
      </c>
      <c r="C68" s="3" t="s">
        <v>20</v>
      </c>
      <c r="D68" s="3">
        <v>42.18</v>
      </c>
      <c r="E68" s="130">
        <f>(44.46+43.72+43.94+43.19+42.99+43.36+43.12+42.86+42.7+43.05+42.74+43.61+43.05+42.86+43.4+43.28+43.1+42.71+42.89+42.68+43.36+42.89+43.69+42.49+42.75+43.36+42.86+42.81+42.67+42.47+42.51+42.96+42.72+42.51+42.38+42.9+42.64+48.57+43.25+43.43+43.03+42.65+42.62+42.75+42.18+42.52+42.59)/47</f>
        <v>43.090851063829788</v>
      </c>
      <c r="F68" s="130">
        <v>0.91085106382978864</v>
      </c>
      <c r="G68" s="3">
        <v>15</v>
      </c>
      <c r="H68" s="131">
        <v>48</v>
      </c>
    </row>
    <row r="69" spans="1:8" ht="15.75">
      <c r="A69" s="128">
        <v>67</v>
      </c>
      <c r="B69" s="129" t="s">
        <v>26</v>
      </c>
      <c r="C69" s="3" t="s">
        <v>16</v>
      </c>
      <c r="D69" s="108">
        <v>41.35</v>
      </c>
      <c r="E69" s="130">
        <f>(42.37+41.88+42.17+41.76+41.86+41.87+41.82+42.23+41.81+41.65+41.68+41.41+41.47+41.71+42.02+41.35+41.68+41.66+41.64+41.81+42.18+41.52+41.83+41.85+41.9+41.71+42.84+41.63+41.7+42.02+42.03+41.63+41.71+41.59+41.64+41.68+41.83+41.48+41.67+41.9+41.73+41.57+42.03+41.8+41.44+41.57+41.6+41.39+41.61+41.43+41.49+41.55+42.02+41.99+41.69+41.76+42.16+41.89+42.01+41.91+42.5+41.72+41.73+41.64+41.81)/65</f>
        <v>41.78815384615384</v>
      </c>
      <c r="F69" s="130">
        <v>0.43815384615383834</v>
      </c>
      <c r="G69" s="3">
        <v>15</v>
      </c>
      <c r="H69" s="131">
        <v>67</v>
      </c>
    </row>
    <row r="70" spans="1:8" ht="15.75">
      <c r="A70" s="128">
        <v>68</v>
      </c>
      <c r="B70" s="129" t="s">
        <v>18</v>
      </c>
      <c r="C70" s="3" t="s">
        <v>19</v>
      </c>
      <c r="D70" s="3">
        <v>41.26</v>
      </c>
      <c r="E70" s="135">
        <f>(42.27+41.73+41.46+41.48+41.52+41.46+41.49+41.43+41.29+41.41+41.31+41.43+41.55+41.62+41.36+41.64+41.84+41.67+41.96+41.85+41.93+41.35+41.63+41.39+41.64+41.26+41.53+41.41+41.34+41.45+41.27+41.34+41.42+41.83+41.6+41.85+41.79+41.54+41.5+41.91+41.6+42.04+41.68+41.65+41.53+41.83+41.84+44.9+42.02+41.81+54.75+64.16+62.1+61.94+62.33+61.46+62.02+59.98+59.82)/59</f>
        <v>44.613728813559312</v>
      </c>
      <c r="F70" s="130">
        <v>3.3537288135593144</v>
      </c>
      <c r="G70" s="3">
        <v>88</v>
      </c>
      <c r="H70" s="131">
        <v>61</v>
      </c>
    </row>
    <row r="71" spans="1:8" ht="15.75">
      <c r="A71" s="128">
        <v>69</v>
      </c>
      <c r="B71" s="129" t="s">
        <v>21</v>
      </c>
      <c r="C71" s="3" t="s">
        <v>159</v>
      </c>
      <c r="D71" s="3">
        <v>41.34</v>
      </c>
      <c r="E71" s="130">
        <f>(42.53+42.3+42.5+41.61+41.49+41.73+41.49+41.39+41.34+41.44+41.81+41.6+41.58+41.39+41.46+41.52+41.65+41.35+41.92)/19</f>
        <v>41.689473684210526</v>
      </c>
      <c r="F71" s="130">
        <v>0.34947368421052261</v>
      </c>
      <c r="G71" s="3">
        <v>88</v>
      </c>
      <c r="H71" s="131">
        <v>19</v>
      </c>
    </row>
    <row r="72" spans="1:8" ht="15.75">
      <c r="A72" s="128">
        <v>70</v>
      </c>
      <c r="B72" s="129" t="s">
        <v>32</v>
      </c>
      <c r="C72" s="3" t="s">
        <v>159</v>
      </c>
      <c r="D72" s="108">
        <v>41.44</v>
      </c>
      <c r="E72" s="130">
        <f>(43.22+41.81+41.55+41.54+41.72+41.75+41.73+41.59+41.68+41.84+41.72+41.72+41.55+41.61+41.84+41.66+41.56+41.54+41.58+41.66+41.67+41.71+41.67+41.94+41.63+41.77+41.61+41.7+41.64+41.72+42.22+41.8+41.67+41.51+41.54+41.71+42.8+41.73+41.44+41.68+41.61+41.81+41.59+41.96+41.95+41.82+41.93+41.92+42.66+41.94+41.83)/51</f>
        <v>41.785294117647062</v>
      </c>
      <c r="F72" s="130">
        <v>0.34529411764706452</v>
      </c>
      <c r="G72" s="3">
        <v>88</v>
      </c>
      <c r="H72" s="131">
        <v>52</v>
      </c>
    </row>
    <row r="73" spans="1:8" ht="15.75">
      <c r="A73" s="128">
        <v>71</v>
      </c>
      <c r="B73" s="129" t="s">
        <v>23</v>
      </c>
      <c r="C73" s="3" t="s">
        <v>161</v>
      </c>
      <c r="D73" s="3">
        <v>41.53</v>
      </c>
      <c r="E73" s="130">
        <f>(42.4+41.81+41.86+41.92+41.73+41.64+41.67+41.6+41.53+41.62+41.81+41.8+42.7+41.91+41.62+41.76+42.66+41.75+41.54+41.62+41.6+41.64+41.93+41.57+41.53+41.93+41.83+41.86+41.57+42.17+41.89+41.81+41.79+41.79+41.74+41.62+41.71+41.73+41.83+41.7+41.88+42.72)/42</f>
        <v>41.828333333333333</v>
      </c>
      <c r="F73" s="130">
        <v>0.29833333333333201</v>
      </c>
      <c r="G73" s="3">
        <v>88</v>
      </c>
      <c r="H73" s="131">
        <v>43</v>
      </c>
    </row>
    <row r="74" spans="1:8" ht="15.75">
      <c r="A74" s="128">
        <v>72</v>
      </c>
      <c r="B74" s="129" t="s">
        <v>25</v>
      </c>
      <c r="C74" s="3" t="s">
        <v>160</v>
      </c>
      <c r="D74" s="3">
        <v>41.64</v>
      </c>
      <c r="E74" s="130">
        <f>(43.76+41.85+41.66+41.67+41.74+42.04+42.12+41.74+41.7+41.89+41.73+41.74+41.89+41.86+42.02+41.94+41.78+41.87+41.79+41.8+42.18+41.82+41.72+42.09+41.94+41.95+41.84+41.83+42.55+41.74+41.64+41.75+41.88+55.98+41.98+42.16+42.03+41.96+42.29+42.23+41.98+42.01+42.06+42.18+42.22+42.57+41.95+41.99+42.24+42.16+42.37+42.04+41.92)/53</f>
        <v>42.261132075471693</v>
      </c>
      <c r="F74" s="130">
        <v>0.62113207547169225</v>
      </c>
      <c r="G74" s="3">
        <v>88</v>
      </c>
      <c r="H74" s="131">
        <v>54</v>
      </c>
    </row>
  </sheetData>
  <autoFilter ref="B2:H2">
    <sortState ref="B3:H74">
      <sortCondition ref="G2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Регистрация</vt:lpstr>
      <vt:lpstr>Общие результаты</vt:lpstr>
      <vt:lpstr>Лучшие отрезки</vt:lpstr>
      <vt:lpstr>ЛК по картам</vt:lpstr>
      <vt:lpstr>Выбор картов</vt:lpstr>
      <vt:lpstr>Чпок Тим</vt:lpstr>
      <vt:lpstr>Ну погоди!</vt:lpstr>
      <vt:lpstr>M&amp;M`s</vt:lpstr>
      <vt:lpstr>Смурфики</vt:lpstr>
      <vt:lpstr>Финики</vt:lpstr>
      <vt:lpstr>НЛО</vt:lpstr>
      <vt:lpstr>Mad Snails team</vt:lpstr>
      <vt:lpstr>Незнайки</vt:lpstr>
      <vt:lpstr>Бандеровцы</vt:lpstr>
      <vt:lpstr>Вспомогательный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2014-05-24T07:46:05Z</cp:lastPrinted>
  <dcterms:created xsi:type="dcterms:W3CDTF">2012-07-06T15:34:01Z</dcterms:created>
  <dcterms:modified xsi:type="dcterms:W3CDTF">2014-06-25T18:12:45Z</dcterms:modified>
</cp:coreProperties>
</file>