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857" activeTab="1"/>
  </bookViews>
  <sheets>
    <sheet name="Регистрация" sheetId="8" r:id="rId1"/>
    <sheet name="Общие результаты" sheetId="13" r:id="rId2"/>
    <sheet name="Лучшие отрезки" sheetId="22" r:id="rId3"/>
    <sheet name="ЛК по картам" sheetId="23" r:id="rId4"/>
    <sheet name="Выбор картов" sheetId="24" r:id="rId5"/>
    <sheet name="Финики" sheetId="14" r:id="rId6"/>
    <sheet name="Ну погоди!" sheetId="15" r:id="rId7"/>
    <sheet name="Чпок Тим" sheetId="16" r:id="rId8"/>
    <sheet name="Смурфики" sheetId="17" r:id="rId9"/>
    <sheet name="Злая Пуля" sheetId="18" r:id="rId10"/>
    <sheet name="M&amp;M`s" sheetId="19" r:id="rId11"/>
    <sheet name="Mad Snails Team" sheetId="20" r:id="rId12"/>
    <sheet name="Бандеровцы" sheetId="25" r:id="rId13"/>
    <sheet name="Окряк Рейсинг" sheetId="26" r:id="rId14"/>
    <sheet name="Вспомогательный" sheetId="21" r:id="rId15"/>
  </sheets>
  <definedNames>
    <definedName name="_xlnm._FilterDatabase" localSheetId="14" hidden="1">Вспомогательный!$B$2:$H$2</definedName>
    <definedName name="_xlnm._FilterDatabase" localSheetId="3" hidden="1">'ЛК по картам'!$B$5:$E$21</definedName>
    <definedName name="_xlnm._FilterDatabase" localSheetId="2" hidden="1">'Лучшие отрезки'!$B$5:$E$21</definedName>
  </definedNames>
  <calcPr calcId="125725"/>
</workbook>
</file>

<file path=xl/calcChain.xml><?xml version="1.0" encoding="utf-8"?>
<calcChain xmlns="http://schemas.openxmlformats.org/spreadsheetml/2006/main">
  <c r="K32" i="24"/>
  <c r="K36"/>
  <c r="L36" s="1"/>
  <c r="H14" i="26"/>
  <c r="H15"/>
  <c r="H13"/>
  <c r="H12"/>
  <c r="H11"/>
  <c r="H10"/>
  <c r="H9"/>
  <c r="H8"/>
  <c r="H7"/>
  <c r="H6"/>
  <c r="F6"/>
  <c r="L6" s="1"/>
  <c r="J6"/>
  <c r="K6" s="1"/>
  <c r="K9" s="1"/>
  <c r="F7"/>
  <c r="L7" s="1"/>
  <c r="J7"/>
  <c r="K7"/>
  <c r="F8"/>
  <c r="L8" s="1"/>
  <c r="J8"/>
  <c r="K8" s="1"/>
  <c r="K11" s="1"/>
  <c r="F9"/>
  <c r="L9" s="1"/>
  <c r="J9"/>
  <c r="F10"/>
  <c r="L10" s="1"/>
  <c r="J10"/>
  <c r="K10" s="1"/>
  <c r="K13" s="1"/>
  <c r="F11"/>
  <c r="L11" s="1"/>
  <c r="J11"/>
  <c r="F12"/>
  <c r="L12" s="1"/>
  <c r="J12"/>
  <c r="F13"/>
  <c r="L13" s="1"/>
  <c r="J13"/>
  <c r="F14"/>
  <c r="J14"/>
  <c r="L14"/>
  <c r="F15"/>
  <c r="L15" s="1"/>
  <c r="J15"/>
  <c r="E16"/>
  <c r="F16"/>
  <c r="H13" i="25"/>
  <c r="H12"/>
  <c r="H11"/>
  <c r="H10"/>
  <c r="H9"/>
  <c r="H8"/>
  <c r="H7"/>
  <c r="H6"/>
  <c r="E14"/>
  <c r="J13"/>
  <c r="F13"/>
  <c r="L13" s="1"/>
  <c r="J12"/>
  <c r="F12"/>
  <c r="L12" s="1"/>
  <c r="J11"/>
  <c r="F11"/>
  <c r="L11" s="1"/>
  <c r="J10"/>
  <c r="F10"/>
  <c r="L10" s="1"/>
  <c r="J9"/>
  <c r="F9"/>
  <c r="L9" s="1"/>
  <c r="J8"/>
  <c r="K8" s="1"/>
  <c r="F8"/>
  <c r="L8" s="1"/>
  <c r="M11" s="1"/>
  <c r="J7"/>
  <c r="K7" s="1"/>
  <c r="F7"/>
  <c r="L7" s="1"/>
  <c r="J6"/>
  <c r="K6" s="1"/>
  <c r="F6"/>
  <c r="H13" i="20"/>
  <c r="H12"/>
  <c r="H11"/>
  <c r="H10"/>
  <c r="H9"/>
  <c r="H8"/>
  <c r="H7"/>
  <c r="H6"/>
  <c r="H13" i="19"/>
  <c r="H12"/>
  <c r="H11"/>
  <c r="H10"/>
  <c r="H9"/>
  <c r="H8"/>
  <c r="H7"/>
  <c r="H6"/>
  <c r="F11" i="18"/>
  <c r="H13"/>
  <c r="H12"/>
  <c r="H11"/>
  <c r="H10"/>
  <c r="H9"/>
  <c r="H8"/>
  <c r="H7"/>
  <c r="H6"/>
  <c r="H13" i="17"/>
  <c r="H12"/>
  <c r="H11"/>
  <c r="H10"/>
  <c r="H9"/>
  <c r="H8"/>
  <c r="H7"/>
  <c r="H6"/>
  <c r="H13" i="16"/>
  <c r="H12"/>
  <c r="H11"/>
  <c r="H10"/>
  <c r="H9"/>
  <c r="H8"/>
  <c r="H7"/>
  <c r="H6"/>
  <c r="L35" i="24"/>
  <c r="L34"/>
  <c r="L33"/>
  <c r="L32"/>
  <c r="L31"/>
  <c r="L30"/>
  <c r="L29"/>
  <c r="I36"/>
  <c r="I35"/>
  <c r="I34"/>
  <c r="I33"/>
  <c r="I32"/>
  <c r="I31"/>
  <c r="I30"/>
  <c r="I29"/>
  <c r="F36"/>
  <c r="F35"/>
  <c r="F34"/>
  <c r="F33"/>
  <c r="F32"/>
  <c r="F31"/>
  <c r="F30"/>
  <c r="F29"/>
  <c r="L24"/>
  <c r="L23"/>
  <c r="L22"/>
  <c r="L21"/>
  <c r="L20"/>
  <c r="L19"/>
  <c r="L18"/>
  <c r="L17"/>
  <c r="I24"/>
  <c r="I23"/>
  <c r="I22"/>
  <c r="I21"/>
  <c r="I20"/>
  <c r="I19"/>
  <c r="I18"/>
  <c r="I17"/>
  <c r="F24"/>
  <c r="F23"/>
  <c r="F22"/>
  <c r="F21"/>
  <c r="F20"/>
  <c r="F19"/>
  <c r="F18"/>
  <c r="F17"/>
  <c r="L12"/>
  <c r="L11"/>
  <c r="L10"/>
  <c r="L9"/>
  <c r="L8"/>
  <c r="L7"/>
  <c r="L6"/>
  <c r="L5"/>
  <c r="I12"/>
  <c r="I11"/>
  <c r="I10"/>
  <c r="I9"/>
  <c r="I8"/>
  <c r="I7"/>
  <c r="I6"/>
  <c r="I5"/>
  <c r="H13" i="15"/>
  <c r="H12"/>
  <c r="H11"/>
  <c r="H10"/>
  <c r="H9"/>
  <c r="H8"/>
  <c r="H7"/>
  <c r="H6"/>
  <c r="F12" i="24"/>
  <c r="F11"/>
  <c r="F10"/>
  <c r="F9"/>
  <c r="F8"/>
  <c r="F7"/>
  <c r="F6"/>
  <c r="F5"/>
  <c r="H13" i="14"/>
  <c r="H8"/>
  <c r="H9"/>
  <c r="H10"/>
  <c r="H11"/>
  <c r="H12"/>
  <c r="H7"/>
  <c r="H6"/>
  <c r="B18" i="24"/>
  <c r="K19" i="23"/>
  <c r="K16"/>
  <c r="E25"/>
  <c r="E22"/>
  <c r="E19"/>
  <c r="K13"/>
  <c r="E16"/>
  <c r="K10"/>
  <c r="E13"/>
  <c r="K22"/>
  <c r="E10"/>
  <c r="K7"/>
  <c r="E7"/>
  <c r="E14" i="14"/>
  <c r="F8" i="18"/>
  <c r="F48" i="21"/>
  <c r="F19"/>
  <c r="F13"/>
  <c r="F37"/>
  <c r="F39"/>
  <c r="F40"/>
  <c r="F23"/>
  <c r="F54"/>
  <c r="F43"/>
  <c r="F46"/>
  <c r="F5"/>
  <c r="F33"/>
  <c r="J21" i="22"/>
  <c r="J20"/>
  <c r="J19"/>
  <c r="J18"/>
  <c r="J17"/>
  <c r="J16"/>
  <c r="J15"/>
  <c r="J14"/>
  <c r="J13"/>
  <c r="J12"/>
  <c r="J11"/>
  <c r="J10"/>
  <c r="J9"/>
  <c r="J8"/>
  <c r="J7"/>
  <c r="E43" i="21"/>
  <c r="E50"/>
  <c r="F50" s="1"/>
  <c r="E18"/>
  <c r="F18" s="1"/>
  <c r="E51"/>
  <c r="F51" s="1"/>
  <c r="E26"/>
  <c r="F26" s="1"/>
  <c r="E22"/>
  <c r="F22" s="1"/>
  <c r="E54"/>
  <c r="E24"/>
  <c r="F24" s="1"/>
  <c r="E19"/>
  <c r="E9"/>
  <c r="F9" s="1"/>
  <c r="E39"/>
  <c r="E58"/>
  <c r="F58" s="1"/>
  <c r="E25"/>
  <c r="F25" s="1"/>
  <c r="E34"/>
  <c r="F34" s="1"/>
  <c r="E31"/>
  <c r="F31" s="1"/>
  <c r="E49"/>
  <c r="F49" s="1"/>
  <c r="E13"/>
  <c r="E55"/>
  <c r="F55" s="1"/>
  <c r="E7"/>
  <c r="F7" s="1"/>
  <c r="E21"/>
  <c r="F21" s="1"/>
  <c r="E12"/>
  <c r="F12" s="1"/>
  <c r="E3"/>
  <c r="F3" s="1"/>
  <c r="E33"/>
  <c r="E8"/>
  <c r="F8" s="1"/>
  <c r="E46"/>
  <c r="E52"/>
  <c r="F52" s="1"/>
  <c r="E48"/>
  <c r="E30"/>
  <c r="F30" s="1"/>
  <c r="E56"/>
  <c r="F56" s="1"/>
  <c r="E42"/>
  <c r="F42" s="1"/>
  <c r="E11"/>
  <c r="F11" s="1"/>
  <c r="E27"/>
  <c r="F27" s="1"/>
  <c r="E6"/>
  <c r="F6" s="1"/>
  <c r="E16"/>
  <c r="F16" s="1"/>
  <c r="E23"/>
  <c r="E36"/>
  <c r="F36" s="1"/>
  <c r="E29"/>
  <c r="F29" s="1"/>
  <c r="E17"/>
  <c r="F17" s="1"/>
  <c r="E37"/>
  <c r="E15"/>
  <c r="F15" s="1"/>
  <c r="E32"/>
  <c r="F32" s="1"/>
  <c r="E35"/>
  <c r="F35" s="1"/>
  <c r="E10"/>
  <c r="F10" s="1"/>
  <c r="E20"/>
  <c r="F20" s="1"/>
  <c r="E47"/>
  <c r="F47" s="1"/>
  <c r="E57"/>
  <c r="F57" s="1"/>
  <c r="E40"/>
  <c r="E41"/>
  <c r="F41" s="1"/>
  <c r="E38"/>
  <c r="F38" s="1"/>
  <c r="E28"/>
  <c r="F28" s="1"/>
  <c r="E53"/>
  <c r="F53" s="1"/>
  <c r="E4"/>
  <c r="F4" s="1"/>
  <c r="E14"/>
  <c r="F14" s="1"/>
  <c r="E44"/>
  <c r="F44" s="1"/>
  <c r="E5"/>
  <c r="E45"/>
  <c r="F45" s="1"/>
  <c r="L37" i="24" l="1"/>
  <c r="K12" i="26"/>
  <c r="K15" s="1"/>
  <c r="K14"/>
  <c r="M14"/>
  <c r="M15"/>
  <c r="M13"/>
  <c r="F14" i="25"/>
  <c r="L6"/>
  <c r="M12" s="1"/>
  <c r="K9"/>
  <c r="K12" s="1"/>
  <c r="K11"/>
  <c r="K13" s="1"/>
  <c r="M13"/>
  <c r="K10"/>
  <c r="L13" i="24"/>
  <c r="F25"/>
  <c r="I13"/>
  <c r="F13"/>
  <c r="P7" s="1"/>
  <c r="I25"/>
  <c r="L25"/>
  <c r="I37"/>
  <c r="F37"/>
  <c r="P23" s="1"/>
  <c r="Q23" s="1"/>
  <c r="P19" l="1"/>
  <c r="Q19" s="1"/>
  <c r="P15"/>
  <c r="Q15" s="1"/>
  <c r="P11"/>
  <c r="Q11" s="1"/>
  <c r="P21"/>
  <c r="Q21" s="1"/>
  <c r="P9"/>
  <c r="P13"/>
  <c r="Q13" s="1"/>
  <c r="Q9"/>
  <c r="P17"/>
  <c r="Q17" s="1"/>
  <c r="F13" i="20" l="1"/>
  <c r="L13" s="1"/>
  <c r="F12"/>
  <c r="L12" s="1"/>
  <c r="F11"/>
  <c r="L11" s="1"/>
  <c r="F10"/>
  <c r="F9"/>
  <c r="F8"/>
  <c r="F7"/>
  <c r="F6"/>
  <c r="L6" s="1"/>
  <c r="E14"/>
  <c r="J13"/>
  <c r="J12"/>
  <c r="J11"/>
  <c r="L10"/>
  <c r="J10"/>
  <c r="L9"/>
  <c r="J9"/>
  <c r="J8"/>
  <c r="L7"/>
  <c r="J7"/>
  <c r="K7" s="1"/>
  <c r="J6"/>
  <c r="K6" s="1"/>
  <c r="F13" i="19"/>
  <c r="L13" s="1"/>
  <c r="F12"/>
  <c r="L12" s="1"/>
  <c r="F11"/>
  <c r="L11" s="1"/>
  <c r="F10"/>
  <c r="L10" s="1"/>
  <c r="F9"/>
  <c r="F8"/>
  <c r="F7"/>
  <c r="F6"/>
  <c r="E14"/>
  <c r="J13"/>
  <c r="J12"/>
  <c r="J11"/>
  <c r="J10"/>
  <c r="L9"/>
  <c r="J9"/>
  <c r="J8"/>
  <c r="L7"/>
  <c r="J7"/>
  <c r="K7" s="1"/>
  <c r="L6"/>
  <c r="J6"/>
  <c r="K6" s="1"/>
  <c r="F13" i="18"/>
  <c r="L13" s="1"/>
  <c r="F12"/>
  <c r="L12" s="1"/>
  <c r="L11"/>
  <c r="F10"/>
  <c r="L10" s="1"/>
  <c r="F9"/>
  <c r="F7"/>
  <c r="F6"/>
  <c r="L6" s="1"/>
  <c r="E14"/>
  <c r="J13"/>
  <c r="J12"/>
  <c r="J11"/>
  <c r="J10"/>
  <c r="L9"/>
  <c r="J9"/>
  <c r="J8"/>
  <c r="L7"/>
  <c r="J7"/>
  <c r="K7" s="1"/>
  <c r="J6"/>
  <c r="K6" s="1"/>
  <c r="F13" i="17"/>
  <c r="L13"/>
  <c r="F12"/>
  <c r="L12"/>
  <c r="F11"/>
  <c r="L11"/>
  <c r="M11" s="1"/>
  <c r="F10"/>
  <c r="L10" s="1"/>
  <c r="F9"/>
  <c r="L9" s="1"/>
  <c r="F8"/>
  <c r="L8"/>
  <c r="F7"/>
  <c r="L7" s="1"/>
  <c r="F13" i="16"/>
  <c r="L13" s="1"/>
  <c r="F6" i="17"/>
  <c r="L6" s="1"/>
  <c r="E14"/>
  <c r="J13"/>
  <c r="J12"/>
  <c r="J11"/>
  <c r="J10"/>
  <c r="J9"/>
  <c r="J8"/>
  <c r="K8" s="1"/>
  <c r="J7"/>
  <c r="K7" s="1"/>
  <c r="J6"/>
  <c r="K6" s="1"/>
  <c r="F12" i="16"/>
  <c r="L12" s="1"/>
  <c r="F11"/>
  <c r="F10"/>
  <c r="L10" s="1"/>
  <c r="F9"/>
  <c r="F8"/>
  <c r="F7"/>
  <c r="F6"/>
  <c r="E14"/>
  <c r="J13"/>
  <c r="J12"/>
  <c r="J11"/>
  <c r="L11"/>
  <c r="J10"/>
  <c r="J9"/>
  <c r="L9"/>
  <c r="J8"/>
  <c r="L8"/>
  <c r="J7"/>
  <c r="K7" s="1"/>
  <c r="L7"/>
  <c r="J6"/>
  <c r="K6" s="1"/>
  <c r="J7" i="15"/>
  <c r="K7" s="1"/>
  <c r="J8"/>
  <c r="F13"/>
  <c r="L13" s="1"/>
  <c r="F12"/>
  <c r="F11"/>
  <c r="L11" s="1"/>
  <c r="F10"/>
  <c r="F9"/>
  <c r="F8"/>
  <c r="F7"/>
  <c r="F6"/>
  <c r="F14" s="1"/>
  <c r="E14"/>
  <c r="J13"/>
  <c r="J12"/>
  <c r="L12"/>
  <c r="J11"/>
  <c r="J10"/>
  <c r="L10"/>
  <c r="J9"/>
  <c r="K9" s="1"/>
  <c r="L9"/>
  <c r="L8"/>
  <c r="L7"/>
  <c r="J6"/>
  <c r="K6" s="1"/>
  <c r="F13" i="14"/>
  <c r="F12"/>
  <c r="L12" s="1"/>
  <c r="J13"/>
  <c r="F11"/>
  <c r="L11" s="1"/>
  <c r="F10"/>
  <c r="F9"/>
  <c r="F8"/>
  <c r="L8" s="1"/>
  <c r="F7"/>
  <c r="L7" s="1"/>
  <c r="F6"/>
  <c r="F14" s="1"/>
  <c r="L13"/>
  <c r="J12"/>
  <c r="J11"/>
  <c r="J10"/>
  <c r="L10"/>
  <c r="J9"/>
  <c r="L9"/>
  <c r="J8"/>
  <c r="K8" s="1"/>
  <c r="K10" s="1"/>
  <c r="K12" s="1"/>
  <c r="J7"/>
  <c r="J6"/>
  <c r="K6" s="1"/>
  <c r="K7" s="1"/>
  <c r="K8" i="15" l="1"/>
  <c r="K10" s="1"/>
  <c r="K12" s="1"/>
  <c r="K9" i="16"/>
  <c r="K12" s="1"/>
  <c r="K9" i="17"/>
  <c r="K11"/>
  <c r="K11" i="15"/>
  <c r="K13" s="1"/>
  <c r="K8" i="16"/>
  <c r="K10" s="1"/>
  <c r="K11" s="1"/>
  <c r="K13"/>
  <c r="K13" i="17"/>
  <c r="K10"/>
  <c r="K12"/>
  <c r="M13" i="18"/>
  <c r="M12" i="14"/>
  <c r="F14" i="20"/>
  <c r="L8"/>
  <c r="K9"/>
  <c r="K11" s="1"/>
  <c r="K13" s="1"/>
  <c r="K8"/>
  <c r="K10" s="1"/>
  <c r="K12" s="1"/>
  <c r="M12"/>
  <c r="M13"/>
  <c r="F14" i="19"/>
  <c r="M13"/>
  <c r="L8"/>
  <c r="M12" s="1"/>
  <c r="K8"/>
  <c r="K11" s="1"/>
  <c r="K12" s="1"/>
  <c r="K9"/>
  <c r="K10" s="1"/>
  <c r="K13" s="1"/>
  <c r="F14" i="18"/>
  <c r="L8"/>
  <c r="M12" s="1"/>
  <c r="K8"/>
  <c r="K10" s="1"/>
  <c r="K12" s="1"/>
  <c r="K9"/>
  <c r="K11" s="1"/>
  <c r="K13" s="1"/>
  <c r="M12" i="17"/>
  <c r="M13"/>
  <c r="F14"/>
  <c r="M12" i="16"/>
  <c r="F14"/>
  <c r="L6"/>
  <c r="M13" s="1"/>
  <c r="M13" i="15"/>
  <c r="L6"/>
  <c r="M12" s="1"/>
  <c r="K9" i="14"/>
  <c r="K11" s="1"/>
  <c r="K13" s="1"/>
  <c r="L6"/>
  <c r="M13" s="1"/>
</calcChain>
</file>

<file path=xl/comments1.xml><?xml version="1.0" encoding="utf-8"?>
<comments xmlns="http://schemas.openxmlformats.org/spreadsheetml/2006/main">
  <authors>
    <author>igoroshko@sdl.com</author>
  </authors>
  <commentList>
    <comment ref="E7" authorId="0">
      <text>
        <r>
          <rPr>
            <b/>
            <sz val="9"/>
            <color indexed="81"/>
            <rFont val="Tahoma"/>
            <family val="2"/>
            <charset val="204"/>
          </rPr>
          <t>Если убрать те круги, когда ему стало плохо, то будет  41,577</t>
        </r>
      </text>
    </comment>
  </commentList>
</comments>
</file>

<file path=xl/sharedStrings.xml><?xml version="1.0" encoding="utf-8"?>
<sst xmlns="http://schemas.openxmlformats.org/spreadsheetml/2006/main" count="804" uniqueCount="195">
  <si>
    <t>всего у пилота</t>
  </si>
  <si>
    <t>отрезок</t>
  </si>
  <si>
    <t>Пилот</t>
  </si>
  <si>
    <t>Команда</t>
  </si>
  <si>
    <t>Контрольная таблица пит стопов команд</t>
  </si>
  <si>
    <t>Карт №</t>
  </si>
  <si>
    <t>КОМАНДА</t>
  </si>
  <si>
    <t>№ пит стопа</t>
  </si>
  <si>
    <t>№</t>
  </si>
  <si>
    <t>№ ком</t>
  </si>
  <si>
    <t>Вес</t>
  </si>
  <si>
    <t>Регистрационная форма</t>
  </si>
  <si>
    <t>Довес</t>
  </si>
  <si>
    <t>Финиш</t>
  </si>
  <si>
    <t>Время на трассе (мин)</t>
  </si>
  <si>
    <t>Марафон-чемпионат "Сорвиголовы 2014", 1-й этап</t>
  </si>
  <si>
    <t>Окряк Рейсинг</t>
  </si>
  <si>
    <t>Злая Пуля</t>
  </si>
  <si>
    <t>Чпок Тим</t>
  </si>
  <si>
    <t>Mad Snails Team</t>
  </si>
  <si>
    <t>Смурфики</t>
  </si>
  <si>
    <t>Бахмацкий Олег</t>
  </si>
  <si>
    <t>Финики</t>
  </si>
  <si>
    <t>Бандеровцы</t>
  </si>
  <si>
    <t>Литвинчук Дима</t>
  </si>
  <si>
    <t>Аверьянов  Антон</t>
  </si>
  <si>
    <t>Троицкий Саша</t>
  </si>
  <si>
    <t>Соколан Артем</t>
  </si>
  <si>
    <t>Шендрик Влад</t>
  </si>
  <si>
    <t>Бойко Коля</t>
  </si>
  <si>
    <t>Галуза Андрей</t>
  </si>
  <si>
    <t>Петушков Андрей</t>
  </si>
  <si>
    <t>Тыщенко Миша</t>
  </si>
  <si>
    <t>Хавило Дима</t>
  </si>
  <si>
    <t>Шевелев Валера</t>
  </si>
  <si>
    <t>Иванов Юра</t>
  </si>
  <si>
    <t>Горошко Игорь</t>
  </si>
  <si>
    <t>Наум</t>
  </si>
  <si>
    <t>Оля</t>
  </si>
  <si>
    <t>Голубченко Саша</t>
  </si>
  <si>
    <t>Манило Денис</t>
  </si>
  <si>
    <t>Пикулин Паша</t>
  </si>
  <si>
    <t>Чайка Толик</t>
  </si>
  <si>
    <t>Ахундов Ильгар</t>
  </si>
  <si>
    <t>1-1</t>
  </si>
  <si>
    <t>1-2</t>
  </si>
  <si>
    <t>1-3</t>
  </si>
  <si>
    <t>2-1</t>
  </si>
  <si>
    <t>2-2</t>
  </si>
  <si>
    <t>3-1</t>
  </si>
  <si>
    <t>3-2</t>
  </si>
  <si>
    <t>4-1</t>
  </si>
  <si>
    <t>4-2</t>
  </si>
  <si>
    <t>5-1</t>
  </si>
  <si>
    <t>5-2</t>
  </si>
  <si>
    <t>5-3</t>
  </si>
  <si>
    <t>6-1</t>
  </si>
  <si>
    <t>6-2</t>
  </si>
  <si>
    <t>7-1</t>
  </si>
  <si>
    <t>7-2</t>
  </si>
  <si>
    <t>8-1</t>
  </si>
  <si>
    <t>8-2</t>
  </si>
  <si>
    <t>9-1</t>
  </si>
  <si>
    <t>9-2</t>
  </si>
  <si>
    <t>9-3</t>
  </si>
  <si>
    <t>-</t>
  </si>
  <si>
    <t>Место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</si>
  <si>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</si>
  <si>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</si>
  <si>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</si>
  <si>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</si>
  <si>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</si>
  <si>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</si>
  <si>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</si>
  <si>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</si>
  <si>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НУ, ПОГОДИ!</t>
  </si>
  <si>
    <t>1 круг</t>
  </si>
  <si>
    <t>ФИНИКИ</t>
  </si>
  <si>
    <t>ЧПОК ТИМ</t>
  </si>
  <si>
    <t>СМУРФИКИ</t>
  </si>
  <si>
    <t>ЗЛАЯ ПУЛЯ</t>
  </si>
  <si>
    <r>
      <t>M</t>
    </r>
    <r>
      <rPr>
        <sz val="11"/>
        <color theme="1"/>
        <rFont val="Calibri"/>
        <family val="2"/>
        <charset val="204"/>
      </rPr>
      <t>&amp;M`s</t>
    </r>
  </si>
  <si>
    <t>БАНДЕРОВЦЫ</t>
  </si>
  <si>
    <t>ОКРЯК РЕЙСИНГ</t>
  </si>
  <si>
    <t>2 круга</t>
  </si>
  <si>
    <t>5 кругов</t>
  </si>
  <si>
    <t>12 кругов</t>
  </si>
  <si>
    <t>15 кругов</t>
  </si>
  <si>
    <t>27.57</t>
  </si>
  <si>
    <t>37.62</t>
  </si>
  <si>
    <t>ЛК</t>
  </si>
  <si>
    <t>Сред. время круга на отрезке (без пита и поломок)</t>
  </si>
  <si>
    <t>Общее время гонки (на часах)</t>
  </si>
  <si>
    <t>10</t>
  </si>
  <si>
    <t>9</t>
  </si>
  <si>
    <t>M&amp;M`s</t>
  </si>
  <si>
    <t>Ну, погоди!</t>
  </si>
  <si>
    <t>№ п/п</t>
  </si>
  <si>
    <t>Карт</t>
  </si>
  <si>
    <t>Кругов</t>
  </si>
  <si>
    <t>Ср. круг</t>
  </si>
  <si>
    <t>M&amp;M's</t>
  </si>
  <si>
    <t>Резанко Оля</t>
  </si>
  <si>
    <t>Лучший круг</t>
  </si>
  <si>
    <t>Лучший круг пилота в своей команде</t>
  </si>
  <si>
    <t>Лучший круг у данного пилота за гонку</t>
  </si>
  <si>
    <t>Лучшие круги в гонке на отрезках, топ 15</t>
  </si>
  <si>
    <t>Лучшие отрезки (средний круг), топ 15</t>
  </si>
  <si>
    <t>Средний круг</t>
  </si>
  <si>
    <t>Стабил-ть</t>
  </si>
  <si>
    <t>Больше того, Финики и Злая Пуля оккупировали 10 из 15 строчек по лучшим кругам на отрезках. И тем разительней разница в их местах в гонке - 1 и 5 соответственно.</t>
  </si>
  <si>
    <t>Топ 15 лучших кругов показаны на 7 разных картах; при этом карт №1 представлен 5 раз, карт №13 - 3 раза.</t>
  </si>
  <si>
    <t>Стабиль-ность</t>
  </si>
  <si>
    <t>Топ 15 лучших отрезков выдали всего 6 пилотов из 5 команд, при этом только победители - Финики - представлены обоими пилотами.</t>
  </si>
  <si>
    <t>По 3 лучших отрезка в Топ 15 показали Влад Шендрик, Валера Шевеле, Коля Бойко и Оля Резанко.</t>
  </si>
  <si>
    <t>Лучшая стабильность* на отрезке, топ 15</t>
  </si>
  <si>
    <t>* считается как разница между средним и лучшим кругом</t>
  </si>
  <si>
    <t>Существенно меняется картина при анализе Топ 15 самых стабильных отрезков. Сразу 8 пилотов из 6 команд представлены в таблице.</t>
  </si>
  <si>
    <r>
      <t xml:space="preserve">Лишь одной строчкой в Топ 15 лучших отрезков и ни одной в Топ 15 лучших кругов представлены пилоты команды </t>
    </r>
    <r>
      <rPr>
        <b/>
        <sz val="14"/>
        <color theme="1"/>
        <rFont val="Calibri"/>
        <family val="2"/>
        <charset val="204"/>
        <scheme val="minor"/>
      </rPr>
      <t>Ну, Погоди!</t>
    </r>
    <r>
      <rPr>
        <sz val="14"/>
        <color theme="1"/>
        <rFont val="Calibri"/>
        <family val="2"/>
        <charset val="204"/>
        <scheme val="minor"/>
      </rPr>
      <t xml:space="preserve"> Очевидно, их успех в гонке (2-е место) зависело от других факторов.</t>
    </r>
  </si>
  <si>
    <r>
      <rPr>
        <b/>
        <sz val="14"/>
        <color theme="1"/>
        <rFont val="Calibri"/>
        <family val="2"/>
        <charset val="204"/>
        <scheme val="minor"/>
      </rPr>
      <t>Финики</t>
    </r>
    <r>
      <rPr>
        <sz val="14"/>
        <color theme="1"/>
        <rFont val="Calibri"/>
        <family val="2"/>
        <charset val="204"/>
        <scheme val="minor"/>
      </rPr>
      <t>, при 5 строчках в Топ 15 лучших и средних кругов, сумели лишь единожды засветиться в таблице стабильности. А значит, если машины им попадутся похуже, их можно будет легко объехать.</t>
    </r>
  </si>
  <si>
    <r>
      <t xml:space="preserve">И наоборот, </t>
    </r>
    <r>
      <rPr>
        <b/>
        <sz val="14"/>
        <color theme="1"/>
        <rFont val="Calibri"/>
        <family val="2"/>
        <charset val="204"/>
        <scheme val="minor"/>
      </rPr>
      <t>Ну, Погоди!</t>
    </r>
    <r>
      <rPr>
        <sz val="14"/>
        <color theme="1"/>
        <rFont val="Calibri"/>
        <family val="2"/>
        <charset val="204"/>
        <scheme val="minor"/>
      </rPr>
      <t xml:space="preserve"> целых 5 раз представлены в таблице стабильности.</t>
    </r>
  </si>
  <si>
    <r>
      <t>В то же время в списке всего 6 пилотов из 4-х команд (</t>
    </r>
    <r>
      <rPr>
        <b/>
        <sz val="14"/>
        <color theme="1"/>
        <rFont val="Calibri"/>
        <family val="2"/>
        <charset val="204"/>
        <scheme val="minor"/>
      </rPr>
      <t>Злая Пуля и Финики</t>
    </r>
    <r>
      <rPr>
        <sz val="14"/>
        <color theme="1"/>
        <rFont val="Calibri"/>
        <family val="2"/>
        <charset val="204"/>
        <scheme val="minor"/>
      </rPr>
      <t xml:space="preserve"> в полном составе, </t>
    </r>
    <r>
      <rPr>
        <b/>
        <sz val="14"/>
        <color theme="1"/>
        <rFont val="Calibri"/>
        <family val="2"/>
        <charset val="204"/>
        <scheme val="minor"/>
      </rPr>
      <t xml:space="preserve">Смурфики и Чпок Тим </t>
    </r>
    <r>
      <rPr>
        <sz val="14"/>
        <color theme="1"/>
        <rFont val="Calibri"/>
        <family val="2"/>
        <charset val="204"/>
        <scheme val="minor"/>
      </rPr>
      <t>- по 1 пилоту).</t>
    </r>
  </si>
  <si>
    <t>Нельзя не отметить 3 великолепных отрезка в гонке - два Коли Бойко и один Валеры Шевелева -  со стабильностью менее 0,3 сек! Валера также единственный пилот,</t>
  </si>
  <si>
    <t>представленный всеми 3-мя своими отрезками во всех 3-х таблицах.</t>
  </si>
  <si>
    <t>По общей стабильности пилота в гонке лучшими стали Валера Шевелев, Коля Бойко и Игорь Горошко (0,310, 0,338 и 0,344 сек. соответственно).</t>
  </si>
  <si>
    <t>Ну, Погоди!</t>
  </si>
  <si>
    <t>Круг заезда на пит</t>
  </si>
  <si>
    <t>Средний круг команды за гонку</t>
  </si>
  <si>
    <t>Марафон "Сорвиголовы 2014", 1-й этап, 24.05.14</t>
  </si>
  <si>
    <t>Петушков</t>
  </si>
  <si>
    <t>Тыщенко</t>
  </si>
  <si>
    <t>Стабильность пилота</t>
  </si>
  <si>
    <t>на отрезке</t>
  </si>
  <si>
    <t>в гонке</t>
  </si>
  <si>
    <t>Голубченко</t>
  </si>
  <si>
    <t>Манило</t>
  </si>
  <si>
    <t>Вылет Артема Соколана на 6-м отрезке привел к потере командой 1 минуты. Если бы этого не произошло, Злая Пуля стала бы 4-й, а, возможно, и 3-й.</t>
  </si>
  <si>
    <t>Пилоты каждой из первых 7 команд провели на трассе примерно поровну времени. Исключение составили только Чпок Тим, где минималку отъездил Андрей Галуза.</t>
  </si>
  <si>
    <t>Галуза</t>
  </si>
  <si>
    <t>Бойко</t>
  </si>
  <si>
    <t>Шендрик</t>
  </si>
  <si>
    <t>Соколан</t>
  </si>
  <si>
    <t>Иванов</t>
  </si>
  <si>
    <t>Хавило</t>
  </si>
  <si>
    <t>Шевелев</t>
  </si>
  <si>
    <t>Горошко</t>
  </si>
  <si>
    <t>По среднему чистому кругу в гонке Злая Пуля - в тройке лучших. Однако, по сравнению с основными соперниками, каждому из пилотов не хватило стабильности.</t>
  </si>
  <si>
    <t>Ну, Погоди! стала самой стабильной командой в гонке. Очевидно, это и явилось ключевым фактором в их успехе.</t>
  </si>
  <si>
    <t>Бахмацкий</t>
  </si>
  <si>
    <t>Резанко</t>
  </si>
  <si>
    <t xml:space="preserve">Лучшие круги в гонке (как быстрейшие, так и средние на отрезках) обеспечили Финикам уверенную победу. </t>
  </si>
  <si>
    <t>С такими временами кругов далеко не лучшая стабильность в гонке не смогла испортить результат.</t>
  </si>
  <si>
    <t xml:space="preserve">M&amp;M's немного уступили основным конкурентам по основным ключевым показателям. </t>
  </si>
  <si>
    <t>При этом, похоже Саше не хватило стабильности, а Денису - скорости.</t>
  </si>
  <si>
    <t>Лучшие круги по картам, топ 3</t>
  </si>
  <si>
    <t>Средний ЛК</t>
  </si>
  <si>
    <t>Mad Snails</t>
  </si>
  <si>
    <t xml:space="preserve">На 1-м этапе карты четко разбились на 3 группы. В 1-й были 2 "ракеты" - №1 и №13. </t>
  </si>
  <si>
    <t>Во 2-й группе 5 картов - №21, 2, 9, 3 и 6 - с отставанием от ракет на 1,5-2 десятых секунды.</t>
  </si>
  <si>
    <t>Регулярное попадание на карты первых 2-х групп во многом решало судьбу гонки.</t>
  </si>
  <si>
    <t>При этом некоторые из этих картов выглядят недооцененными из-за того, что на них не ехали</t>
  </si>
  <si>
    <t>самые быстрые пилоты этапа. Весьма вероятно, что отставание картов №5, 15, 14 в реальности</t>
  </si>
  <si>
    <t>было не таким большим.</t>
  </si>
  <si>
    <t>Результат</t>
  </si>
  <si>
    <t>Рейтинг картов</t>
  </si>
  <si>
    <t>Потери от лидера</t>
  </si>
  <si>
    <t>Карты</t>
  </si>
  <si>
    <t>Отрезки</t>
  </si>
  <si>
    <t>Потери</t>
  </si>
  <si>
    <t>Среднее</t>
  </si>
  <si>
    <t>Всего, сек</t>
  </si>
  <si>
    <t>Успешность стратегии команд в выборе картов на 1-м этапе Сорвиголов (на основании ЛК по картам)</t>
  </si>
  <si>
    <t>Кругов на отрезке</t>
  </si>
  <si>
    <t>MAD SNAILS TEAM</t>
  </si>
  <si>
    <t>Окряк рейсинг</t>
  </si>
  <si>
    <t>Как и предполагалось, лучшая стратегия выбора картов на этапе была у Фиников. Однако их отрыв от основных конкурентов не так велик, как субъективно казалось.</t>
  </si>
  <si>
    <t>Злая Пуля проиграла победителям в стратегии всего 4 секунды. Что в совокупности с их скоростью на этапе делает их 5-е место каким-то недоразумением ;).</t>
  </si>
  <si>
    <t>Чпок Тим, Ну Погоди! и Смурфики проиграли на стратегии около половины круга - явно недостаточно, чтобы объяснить их общее отставание.</t>
  </si>
  <si>
    <t xml:space="preserve">А вот начиная с 6-го места, прогрыши в стратегии резко возрастают: так, M&amp;M's потеряли на этом 1,5 круга, а Mad Snails - более 3,5 кругов. </t>
  </si>
  <si>
    <t>Средний гоночный круг Смурфиков (41,634) - второй результат после Фиников. Стало быть, они потеряли подиум не на трассе, а на пит стопе или на 1-м круге после него (!)</t>
  </si>
  <si>
    <t>Конфигурация 4R</t>
  </si>
  <si>
    <t>РЕЗУЛЬТАТЫ марафона "Сорвиголовы 2014", 1-й этап, 24.05.14</t>
  </si>
  <si>
    <t>4:00:35.61</t>
  </si>
  <si>
    <t>Аверьянов Антон</t>
  </si>
  <si>
    <t>11</t>
  </si>
  <si>
    <t>Чайка</t>
  </si>
  <si>
    <t>Пикулин</t>
  </si>
  <si>
    <t>Ахундов</t>
  </si>
  <si>
    <t>Литвинчук</t>
  </si>
  <si>
    <t>Троицкий</t>
  </si>
  <si>
    <t>Аверьянов</t>
  </si>
  <si>
    <t>Темп Окряков был не так и далек от их главных конкурентов в этой гонке - Бандеровцев. Однако неверно рассчитанная тактика пит стопов заставила команду сделать 2 лишних пита.</t>
  </si>
  <si>
    <t>Самым быстрым среди Бандеровцев стал Пикулин Паша, правда он же стал и наименее стабильным пилотом в гонке среди всех участников.</t>
  </si>
  <si>
    <t>Дебютанты гонок - Бандеровцы и Окряки - потеряли на стратегии около 3 кругов.</t>
  </si>
  <si>
    <t>В 3-й группе 6 картов - №15, 4, 5, 11, 10, 14 - с отставанием от ракет на 0,7-0,9 сек.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</si>
</sst>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[$-F400]h:mm:ss\ AM/PM"/>
    <numFmt numFmtId="166" formatCode="0.0"/>
  </numFmts>
  <fonts count="36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sz val="20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5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8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sz val="13"/>
      <name val="Calibri"/>
      <family val="2"/>
      <charset val="204"/>
    </font>
    <font>
      <b/>
      <sz val="13"/>
      <color rgb="FFFF0000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4"/>
      <color theme="1"/>
      <name val="Calibri"/>
      <family val="2"/>
      <charset val="204"/>
      <scheme val="minor"/>
    </font>
    <font>
      <b/>
      <sz val="25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8" fillId="0" borderId="27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49" fontId="8" fillId="0" borderId="41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49" fontId="8" fillId="0" borderId="19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0" borderId="43" xfId="0" applyFont="1" applyBorder="1" applyAlignment="1">
      <alignment vertical="center"/>
    </xf>
    <xf numFmtId="49" fontId="8" fillId="0" borderId="44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49" fontId="8" fillId="0" borderId="42" xfId="0" applyNumberFormat="1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0" xfId="0" applyFont="1" applyBorder="1" applyAlignment="1">
      <alignment vertical="center"/>
    </xf>
    <xf numFmtId="49" fontId="0" fillId="0" borderId="42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2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165" fontId="2" fillId="3" borderId="14" xfId="0" applyNumberFormat="1" applyFont="1" applyFill="1" applyBorder="1" applyAlignment="1">
      <alignment horizontal="center" vertical="center"/>
    </xf>
    <xf numFmtId="165" fontId="2" fillId="4" borderId="14" xfId="0" applyNumberFormat="1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0" borderId="0" xfId="0" applyFont="1" applyFill="1" applyAlignment="1">
      <alignment vertical="center" wrapText="1"/>
    </xf>
    <xf numFmtId="0" fontId="0" fillId="0" borderId="25" xfId="0" applyBorder="1" applyAlignment="1">
      <alignment horizontal="center" vertical="center"/>
    </xf>
    <xf numFmtId="0" fontId="0" fillId="0" borderId="0" xfId="0" applyAlignment="1"/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0" borderId="5" xfId="0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0" xfId="0" applyBorder="1" applyAlignment="1">
      <alignment horizont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Border="1"/>
    <xf numFmtId="0" fontId="16" fillId="0" borderId="0" xfId="0" applyFont="1" applyBorder="1" applyAlignment="1">
      <alignment horizontal="center"/>
    </xf>
    <xf numFmtId="0" fontId="25" fillId="0" borderId="14" xfId="0" applyFont="1" applyBorder="1" applyAlignment="1">
      <alignment horizontal="center" vertical="center"/>
    </xf>
    <xf numFmtId="0" fontId="22" fillId="0" borderId="52" xfId="0" applyFont="1" applyFill="1" applyBorder="1" applyAlignment="1">
      <alignment vertical="center"/>
    </xf>
    <xf numFmtId="0" fontId="22" fillId="0" borderId="52" xfId="0" applyFont="1" applyFill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6" fillId="0" borderId="14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19" fillId="0" borderId="0" xfId="0" applyFont="1" applyAlignment="1"/>
    <xf numFmtId="0" fontId="22" fillId="0" borderId="12" xfId="0" applyFont="1" applyBorder="1" applyAlignment="1">
      <alignment vertical="center"/>
    </xf>
    <xf numFmtId="0" fontId="22" fillId="0" borderId="3" xfId="0" applyFont="1" applyBorder="1" applyAlignment="1">
      <alignment vertical="center"/>
    </xf>
    <xf numFmtId="0" fontId="22" fillId="0" borderId="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/>
    </xf>
    <xf numFmtId="2" fontId="22" fillId="0" borderId="12" xfId="0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2" fontId="22" fillId="0" borderId="3" xfId="0" applyNumberFormat="1" applyFont="1" applyBorder="1" applyAlignment="1">
      <alignment horizontal="center" vertical="center"/>
    </xf>
    <xf numFmtId="0" fontId="21" fillId="5" borderId="22" xfId="0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vertical="center"/>
    </xf>
    <xf numFmtId="0" fontId="22" fillId="5" borderId="12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22" fillId="5" borderId="13" xfId="0" applyFont="1" applyFill="1" applyBorder="1" applyAlignment="1">
      <alignment horizontal="center" vertical="center"/>
    </xf>
    <xf numFmtId="0" fontId="21" fillId="5" borderId="6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vertical="center"/>
    </xf>
    <xf numFmtId="0" fontId="22" fillId="5" borderId="1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vertical="center"/>
    </xf>
    <xf numFmtId="0" fontId="20" fillId="5" borderId="1" xfId="0" applyFont="1" applyFill="1" applyBorder="1" applyAlignment="1">
      <alignment horizontal="center" vertical="center"/>
    </xf>
    <xf numFmtId="49" fontId="22" fillId="5" borderId="5" xfId="0" applyNumberFormat="1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vertical="center"/>
    </xf>
    <xf numFmtId="0" fontId="22" fillId="5" borderId="3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horizontal="center" vertical="center"/>
    </xf>
    <xf numFmtId="2" fontId="22" fillId="5" borderId="12" xfId="0" applyNumberFormat="1" applyFont="1" applyFill="1" applyBorder="1" applyAlignment="1">
      <alignment horizontal="center" vertical="center"/>
    </xf>
    <xf numFmtId="2" fontId="22" fillId="5" borderId="1" xfId="0" applyNumberFormat="1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vertical="center"/>
    </xf>
    <xf numFmtId="0" fontId="22" fillId="6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2" fillId="6" borderId="5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2" fontId="22" fillId="6" borderId="1" xfId="0" applyNumberFormat="1" applyFont="1" applyFill="1" applyBorder="1" applyAlignment="1">
      <alignment horizontal="center" vertical="center"/>
    </xf>
    <xf numFmtId="0" fontId="21" fillId="7" borderId="6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vertical="center"/>
    </xf>
    <xf numFmtId="0" fontId="22" fillId="7" borderId="1" xfId="0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0" fontId="21" fillId="8" borderId="6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vertical="center"/>
    </xf>
    <xf numFmtId="0" fontId="22" fillId="8" borderId="1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/>
    </xf>
    <xf numFmtId="0" fontId="22" fillId="8" borderId="5" xfId="0" applyFont="1" applyFill="1" applyBorder="1" applyAlignment="1">
      <alignment horizontal="center" vertical="center"/>
    </xf>
    <xf numFmtId="2" fontId="22" fillId="8" borderId="1" xfId="0" applyNumberFormat="1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164" fontId="22" fillId="7" borderId="1" xfId="0" applyNumberFormat="1" applyFont="1" applyFill="1" applyBorder="1" applyAlignment="1">
      <alignment horizontal="center" vertical="center"/>
    </xf>
    <xf numFmtId="0" fontId="21" fillId="8" borderId="22" xfId="0" applyFont="1" applyFill="1" applyBorder="1" applyAlignment="1">
      <alignment horizontal="center" vertical="center"/>
    </xf>
    <xf numFmtId="0" fontId="22" fillId="8" borderId="12" xfId="0" applyFont="1" applyFill="1" applyBorder="1" applyAlignment="1">
      <alignment vertical="center"/>
    </xf>
    <xf numFmtId="0" fontId="22" fillId="8" borderId="12" xfId="0" applyFont="1" applyFill="1" applyBorder="1" applyAlignment="1">
      <alignment horizontal="center" vertical="center"/>
    </xf>
    <xf numFmtId="164" fontId="22" fillId="8" borderId="12" xfId="0" applyNumberFormat="1" applyFont="1" applyFill="1" applyBorder="1" applyAlignment="1">
      <alignment horizontal="center" vertical="center"/>
    </xf>
    <xf numFmtId="0" fontId="22" fillId="8" borderId="13" xfId="0" applyFont="1" applyFill="1" applyBorder="1" applyAlignment="1">
      <alignment horizontal="center" vertical="center"/>
    </xf>
    <xf numFmtId="164" fontId="22" fillId="8" borderId="1" xfId="0" applyNumberFormat="1" applyFont="1" applyFill="1" applyBorder="1" applyAlignment="1">
      <alignment horizontal="center" vertical="center"/>
    </xf>
    <xf numFmtId="164" fontId="22" fillId="5" borderId="1" xfId="0" applyNumberFormat="1" applyFont="1" applyFill="1" applyBorder="1" applyAlignment="1">
      <alignment horizontal="center" vertical="center"/>
    </xf>
    <xf numFmtId="164" fontId="22" fillId="6" borderId="1" xfId="0" applyNumberFormat="1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2" fillId="7" borderId="3" xfId="0" applyFont="1" applyFill="1" applyBorder="1" applyAlignment="1">
      <alignment vertical="center"/>
    </xf>
    <xf numFmtId="0" fontId="22" fillId="7" borderId="3" xfId="0" applyFont="1" applyFill="1" applyBorder="1" applyAlignment="1">
      <alignment horizontal="center" vertical="center"/>
    </xf>
    <xf numFmtId="164" fontId="22" fillId="7" borderId="3" xfId="0" applyNumberFormat="1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vertical="center"/>
    </xf>
    <xf numFmtId="49" fontId="22" fillId="7" borderId="5" xfId="0" applyNumberFormat="1" applyFont="1" applyFill="1" applyBorder="1" applyAlignment="1">
      <alignment horizontal="center" vertical="center"/>
    </xf>
    <xf numFmtId="2" fontId="22" fillId="7" borderId="1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26" fillId="0" borderId="14" xfId="0" applyFont="1" applyBorder="1" applyAlignment="1">
      <alignment vertical="center"/>
    </xf>
    <xf numFmtId="165" fontId="2" fillId="0" borderId="8" xfId="0" applyNumberFormat="1" applyFont="1" applyBorder="1" applyAlignment="1">
      <alignment horizontal="center" vertical="center"/>
    </xf>
    <xf numFmtId="165" fontId="3" fillId="0" borderId="26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164" fontId="2" fillId="0" borderId="4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3" borderId="15" xfId="0" applyNumberFormat="1" applyFon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16" fillId="2" borderId="5" xfId="0" applyNumberFormat="1" applyFont="1" applyFill="1" applyBorder="1" applyAlignment="1">
      <alignment horizontal="center" vertical="center"/>
    </xf>
    <xf numFmtId="164" fontId="16" fillId="2" borderId="2" xfId="0" applyNumberFormat="1" applyFont="1" applyFill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2" fontId="18" fillId="0" borderId="32" xfId="0" applyNumberFormat="1" applyFont="1" applyBorder="1" applyAlignment="1">
      <alignment horizontal="center" vertical="center"/>
    </xf>
    <xf numFmtId="164" fontId="18" fillId="0" borderId="20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17" fillId="0" borderId="0" xfId="0" applyFont="1"/>
    <xf numFmtId="0" fontId="1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3" fillId="0" borderId="25" xfId="0" applyNumberFormat="1" applyFont="1" applyBorder="1" applyAlignment="1">
      <alignment horizontal="center" vertical="center"/>
    </xf>
    <xf numFmtId="164" fontId="0" fillId="10" borderId="12" xfId="0" applyNumberForma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5" fontId="2" fillId="4" borderId="15" xfId="0" applyNumberFormat="1" applyFont="1" applyFill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10" borderId="3" xfId="0" applyNumberForma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4" fillId="0" borderId="0" xfId="0" applyFont="1" applyAlignment="1">
      <alignment horizontal="center"/>
    </xf>
    <xf numFmtId="0" fontId="2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30" fillId="0" borderId="0" xfId="0" applyFont="1"/>
    <xf numFmtId="0" fontId="21" fillId="0" borderId="0" xfId="0" applyFont="1" applyBorder="1" applyAlignment="1"/>
    <xf numFmtId="0" fontId="22" fillId="0" borderId="10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1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6" fontId="17" fillId="0" borderId="7" xfId="0" applyNumberFormat="1" applyFont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17" fillId="0" borderId="5" xfId="0" applyNumberFormat="1" applyFont="1" applyBorder="1" applyAlignment="1">
      <alignment horizontal="center"/>
    </xf>
    <xf numFmtId="166" fontId="17" fillId="0" borderId="5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17" fillId="0" borderId="53" xfId="0" applyFont="1" applyBorder="1" applyAlignment="1">
      <alignment horizontal="center"/>
    </xf>
    <xf numFmtId="2" fontId="17" fillId="0" borderId="54" xfId="0" applyNumberFormat="1" applyFont="1" applyBorder="1" applyAlignment="1">
      <alignment horizontal="center"/>
    </xf>
    <xf numFmtId="166" fontId="35" fillId="0" borderId="54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166" fontId="17" fillId="9" borderId="5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66" fontId="18" fillId="0" borderId="54" xfId="0" applyNumberFormat="1" applyFont="1" applyFill="1" applyBorder="1" applyAlignment="1">
      <alignment horizontal="center"/>
    </xf>
    <xf numFmtId="0" fontId="18" fillId="0" borderId="32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166" fontId="18" fillId="9" borderId="54" xfId="0" applyNumberFormat="1" applyFont="1" applyFill="1" applyBorder="1" applyAlignment="1">
      <alignment horizontal="center"/>
    </xf>
    <xf numFmtId="0" fontId="17" fillId="0" borderId="0" xfId="0" applyFont="1" applyAlignment="1"/>
    <xf numFmtId="0" fontId="0" fillId="0" borderId="4" xfId="0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166" fontId="35" fillId="11" borderId="54" xfId="0" applyNumberFormat="1" applyFont="1" applyFill="1" applyBorder="1" applyAlignment="1">
      <alignment horizontal="center"/>
    </xf>
    <xf numFmtId="166" fontId="35" fillId="9" borderId="54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textRotation="90"/>
    </xf>
    <xf numFmtId="0" fontId="8" fillId="0" borderId="14" xfId="0" applyFont="1" applyFill="1" applyBorder="1" applyAlignment="1">
      <alignment horizontal="center" vertical="center" textRotation="90"/>
    </xf>
    <xf numFmtId="0" fontId="8" fillId="0" borderId="15" xfId="0" applyFont="1" applyFill="1" applyBorder="1" applyAlignment="1">
      <alignment horizontal="center" vertical="center" textRotation="90"/>
    </xf>
    <xf numFmtId="0" fontId="0" fillId="0" borderId="9" xfId="0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 textRotation="90"/>
    </xf>
    <xf numFmtId="0" fontId="9" fillId="0" borderId="14" xfId="0" applyFont="1" applyFill="1" applyBorder="1" applyAlignment="1">
      <alignment horizontal="center" vertical="center" textRotation="90"/>
    </xf>
    <xf numFmtId="0" fontId="9" fillId="0" borderId="15" xfId="0" applyFont="1" applyFill="1" applyBorder="1" applyAlignment="1">
      <alignment horizontal="center" vertical="center" textRotation="90"/>
    </xf>
    <xf numFmtId="0" fontId="0" fillId="0" borderId="23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 textRotation="90"/>
    </xf>
    <xf numFmtId="0" fontId="1" fillId="0" borderId="2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textRotation="90" wrapText="1"/>
    </xf>
    <xf numFmtId="0" fontId="8" fillId="0" borderId="14" xfId="0" applyFont="1" applyFill="1" applyBorder="1" applyAlignment="1">
      <alignment horizontal="center" vertical="center" textRotation="90" wrapText="1"/>
    </xf>
    <xf numFmtId="0" fontId="8" fillId="0" borderId="15" xfId="0" applyFont="1" applyFill="1" applyBorder="1" applyAlignment="1">
      <alignment horizontal="center" vertical="center" textRotation="90" wrapText="1"/>
    </xf>
    <xf numFmtId="0" fontId="8" fillId="0" borderId="26" xfId="0" applyFont="1" applyFill="1" applyBorder="1" applyAlignment="1">
      <alignment horizontal="center" vertical="center" textRotation="90" wrapText="1"/>
    </xf>
    <xf numFmtId="0" fontId="8" fillId="0" borderId="21" xfId="0" applyFont="1" applyFill="1" applyBorder="1" applyAlignment="1">
      <alignment horizontal="center" vertical="center" textRotation="90" wrapText="1"/>
    </xf>
    <xf numFmtId="0" fontId="1" fillId="0" borderId="2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textRotation="90"/>
    </xf>
    <xf numFmtId="0" fontId="10" fillId="0" borderId="0" xfId="0" applyFont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0" fillId="0" borderId="35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0" borderId="46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2" fontId="22" fillId="0" borderId="35" xfId="0" applyNumberFormat="1" applyFont="1" applyBorder="1" applyAlignment="1">
      <alignment horizontal="center" vertical="center"/>
    </xf>
    <xf numFmtId="2" fontId="22" fillId="0" borderId="51" xfId="0" applyNumberFormat="1" applyFont="1" applyBorder="1" applyAlignment="1">
      <alignment horizontal="center" vertical="center"/>
    </xf>
    <xf numFmtId="2" fontId="22" fillId="0" borderId="20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166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6" fontId="17" fillId="0" borderId="7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8" fillId="0" borderId="50" xfId="0" applyFont="1" applyBorder="1" applyAlignment="1">
      <alignment horizontal="center" vertical="center" wrapText="1"/>
    </xf>
    <xf numFmtId="0" fontId="0" fillId="0" borderId="59" xfId="0" applyBorder="1"/>
    <xf numFmtId="0" fontId="0" fillId="0" borderId="26" xfId="0" applyBorder="1"/>
    <xf numFmtId="0" fontId="0" fillId="0" borderId="60" xfId="0" applyBorder="1"/>
    <xf numFmtId="0" fontId="18" fillId="0" borderId="57" xfId="0" applyFont="1" applyBorder="1" applyAlignment="1">
      <alignment horizontal="center"/>
    </xf>
    <xf numFmtId="0" fontId="18" fillId="0" borderId="58" xfId="0" applyFont="1" applyBorder="1" applyAlignment="1">
      <alignment horizontal="center"/>
    </xf>
    <xf numFmtId="0" fontId="18" fillId="0" borderId="45" xfId="0" applyFont="1" applyBorder="1" applyAlignment="1">
      <alignment horizontal="center"/>
    </xf>
    <xf numFmtId="0" fontId="18" fillId="0" borderId="55" xfId="0" applyFont="1" applyBorder="1" applyAlignment="1">
      <alignment horizontal="center"/>
    </xf>
    <xf numFmtId="0" fontId="18" fillId="0" borderId="56" xfId="0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166" fontId="17" fillId="0" borderId="5" xfId="0" applyNumberFormat="1" applyFont="1" applyBorder="1" applyAlignment="1">
      <alignment horizontal="center" vertical="center"/>
    </xf>
    <xf numFmtId="166" fontId="17" fillId="0" borderId="12" xfId="0" applyNumberFormat="1" applyFont="1" applyBorder="1" applyAlignment="1">
      <alignment horizontal="center" vertical="center"/>
    </xf>
    <xf numFmtId="166" fontId="17" fillId="0" borderId="13" xfId="0" applyNumberFormat="1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 wrapText="1"/>
    </xf>
    <xf numFmtId="0" fontId="0" fillId="0" borderId="46" xfId="0" applyBorder="1"/>
    <xf numFmtId="0" fontId="0" fillId="0" borderId="34" xfId="0" applyBorder="1"/>
    <xf numFmtId="0" fontId="18" fillId="0" borderId="31" xfId="0" applyFont="1" applyBorder="1" applyAlignment="1">
      <alignment horizontal="center" vertical="center"/>
    </xf>
    <xf numFmtId="0" fontId="0" fillId="0" borderId="48" xfId="0" applyBorder="1"/>
    <xf numFmtId="0" fontId="0" fillId="0" borderId="32" xfId="0" applyBorder="1"/>
    <xf numFmtId="0" fontId="17" fillId="0" borderId="9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22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57" xfId="0" applyFont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166" fontId="17" fillId="0" borderId="10" xfId="0" applyNumberFormat="1" applyFont="1" applyBorder="1" applyAlignment="1">
      <alignment horizontal="center" vertical="center"/>
    </xf>
    <xf numFmtId="166" fontId="17" fillId="0" borderId="8" xfId="0" applyNumberFormat="1" applyFont="1" applyBorder="1" applyAlignment="1">
      <alignment horizontal="center" vertical="center"/>
    </xf>
    <xf numFmtId="166" fontId="17" fillId="0" borderId="1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8" fillId="0" borderId="41" xfId="0" applyFont="1" applyBorder="1" applyAlignment="1">
      <alignment horizontal="center"/>
    </xf>
    <xf numFmtId="0" fontId="18" fillId="0" borderId="34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6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textRotation="90"/>
    </xf>
    <xf numFmtId="0" fontId="31" fillId="0" borderId="16" xfId="0" applyFont="1" applyBorder="1" applyAlignment="1">
      <alignment horizontal="center" vertical="center" textRotation="90"/>
    </xf>
    <xf numFmtId="0" fontId="31" fillId="0" borderId="17" xfId="0" applyFont="1" applyBorder="1" applyAlignment="1">
      <alignment horizontal="center" vertical="center" textRotation="90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0" fontId="22" fillId="0" borderId="32" xfId="0" applyFont="1" applyBorder="1" applyAlignment="1">
      <alignment vertical="center"/>
    </xf>
    <xf numFmtId="0" fontId="22" fillId="0" borderId="3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62" xfId="0" applyFont="1" applyFill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21"/>
  <sheetViews>
    <sheetView zoomScale="70" zoomScaleNormal="70" workbookViewId="0">
      <selection activeCell="I10" sqref="I10:I12"/>
    </sheetView>
  </sheetViews>
  <sheetFormatPr defaultRowHeight="15"/>
  <cols>
    <col min="3" max="3" width="31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2" max="12" width="9.85546875" customWidth="1"/>
  </cols>
  <sheetData>
    <row r="1" spans="1:13" ht="26.25">
      <c r="A1" s="275" t="s">
        <v>15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</row>
    <row r="2" spans="1:13" ht="5.25" customHeight="1"/>
    <row r="3" spans="1:13" ht="19.5" customHeight="1">
      <c r="A3" s="294" t="s">
        <v>11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</row>
    <row r="4" spans="1:13" ht="15.75" customHeight="1" thickBo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 s="1" customFormat="1" ht="30" customHeight="1">
      <c r="A5" s="279" t="s">
        <v>9</v>
      </c>
      <c r="B5" s="295" t="s">
        <v>3</v>
      </c>
      <c r="C5" s="290" t="s">
        <v>2</v>
      </c>
      <c r="D5" s="290" t="s">
        <v>8</v>
      </c>
      <c r="E5" s="305" t="s">
        <v>10</v>
      </c>
      <c r="F5" s="298" t="s">
        <v>12</v>
      </c>
      <c r="G5" s="276"/>
      <c r="H5" s="279" t="s">
        <v>9</v>
      </c>
      <c r="I5" s="295" t="s">
        <v>3</v>
      </c>
      <c r="J5" s="290" t="s">
        <v>2</v>
      </c>
      <c r="K5" s="290" t="s">
        <v>8</v>
      </c>
      <c r="L5" s="290" t="s">
        <v>10</v>
      </c>
      <c r="M5" s="292" t="s">
        <v>12</v>
      </c>
    </row>
    <row r="6" spans="1:13" s="1" customFormat="1" ht="30" customHeight="1" thickBot="1">
      <c r="A6" s="289"/>
      <c r="B6" s="296"/>
      <c r="C6" s="291"/>
      <c r="D6" s="291"/>
      <c r="E6" s="306"/>
      <c r="F6" s="299"/>
      <c r="G6" s="277"/>
      <c r="H6" s="289"/>
      <c r="I6" s="296"/>
      <c r="J6" s="291"/>
      <c r="K6" s="291"/>
      <c r="L6" s="291"/>
      <c r="M6" s="293"/>
    </row>
    <row r="7" spans="1:13" s="2" customFormat="1" ht="30" customHeight="1">
      <c r="A7" s="279">
        <v>1</v>
      </c>
      <c r="B7" s="300" t="s">
        <v>16</v>
      </c>
      <c r="C7" s="17" t="s">
        <v>24</v>
      </c>
      <c r="D7" s="20" t="s">
        <v>44</v>
      </c>
      <c r="E7" s="21">
        <v>75</v>
      </c>
      <c r="F7" s="30">
        <v>5</v>
      </c>
      <c r="G7" s="277"/>
      <c r="H7" s="279">
        <v>6</v>
      </c>
      <c r="I7" s="282" t="s">
        <v>96</v>
      </c>
      <c r="J7" s="17" t="s">
        <v>36</v>
      </c>
      <c r="K7" s="20" t="s">
        <v>56</v>
      </c>
      <c r="L7" s="21">
        <v>81</v>
      </c>
      <c r="M7" s="27" t="s">
        <v>65</v>
      </c>
    </row>
    <row r="8" spans="1:13" s="2" customFormat="1" ht="30" customHeight="1">
      <c r="A8" s="280"/>
      <c r="B8" s="301"/>
      <c r="C8" s="18" t="s">
        <v>25</v>
      </c>
      <c r="D8" s="22" t="s">
        <v>45</v>
      </c>
      <c r="E8" s="23">
        <v>103</v>
      </c>
      <c r="F8" s="31" t="s">
        <v>65</v>
      </c>
      <c r="G8" s="277"/>
      <c r="H8" s="280"/>
      <c r="I8" s="283"/>
      <c r="J8" s="18" t="s">
        <v>37</v>
      </c>
      <c r="K8" s="22" t="s">
        <v>57</v>
      </c>
      <c r="L8" s="23">
        <v>77</v>
      </c>
      <c r="M8" s="28">
        <v>3</v>
      </c>
    </row>
    <row r="9" spans="1:13" s="2" customFormat="1" ht="30" customHeight="1" thickBot="1">
      <c r="A9" s="289"/>
      <c r="B9" s="304"/>
      <c r="C9" s="34" t="s">
        <v>26</v>
      </c>
      <c r="D9" s="35" t="s">
        <v>46</v>
      </c>
      <c r="E9" s="36">
        <v>59</v>
      </c>
      <c r="F9" s="37">
        <v>21</v>
      </c>
      <c r="G9" s="277"/>
      <c r="H9" s="289"/>
      <c r="I9" s="307"/>
      <c r="J9" s="34"/>
      <c r="K9" s="35"/>
      <c r="L9" s="36"/>
      <c r="M9" s="39"/>
    </row>
    <row r="10" spans="1:13" s="2" customFormat="1" ht="30" customHeight="1">
      <c r="A10" s="279">
        <v>2</v>
      </c>
      <c r="B10" s="300" t="s">
        <v>17</v>
      </c>
      <c r="C10" s="17" t="s">
        <v>27</v>
      </c>
      <c r="D10" s="20" t="s">
        <v>47</v>
      </c>
      <c r="E10" s="21">
        <v>73</v>
      </c>
      <c r="F10" s="30">
        <v>7</v>
      </c>
      <c r="G10" s="277"/>
      <c r="H10" s="279">
        <v>7</v>
      </c>
      <c r="I10" s="282" t="s">
        <v>22</v>
      </c>
      <c r="J10" s="17" t="s">
        <v>21</v>
      </c>
      <c r="K10" s="20" t="s">
        <v>58</v>
      </c>
      <c r="L10" s="21">
        <v>80</v>
      </c>
      <c r="M10" s="27" t="s">
        <v>65</v>
      </c>
    </row>
    <row r="11" spans="1:13" s="2" customFormat="1" ht="30" customHeight="1">
      <c r="A11" s="280"/>
      <c r="B11" s="301"/>
      <c r="C11" s="18" t="s">
        <v>28</v>
      </c>
      <c r="D11" s="22" t="s">
        <v>48</v>
      </c>
      <c r="E11" s="23">
        <v>60</v>
      </c>
      <c r="F11" s="31">
        <v>20</v>
      </c>
      <c r="G11" s="277"/>
      <c r="H11" s="280"/>
      <c r="I11" s="283"/>
      <c r="J11" s="18" t="s">
        <v>38</v>
      </c>
      <c r="K11" s="22" t="s">
        <v>59</v>
      </c>
      <c r="L11" s="23" t="s">
        <v>65</v>
      </c>
      <c r="M11" s="28" t="s">
        <v>65</v>
      </c>
    </row>
    <row r="12" spans="1:13" s="2" customFormat="1" ht="30" customHeight="1" thickBot="1">
      <c r="A12" s="281"/>
      <c r="B12" s="302"/>
      <c r="C12" s="19"/>
      <c r="D12" s="25"/>
      <c r="E12" s="26"/>
      <c r="F12" s="33"/>
      <c r="G12" s="277"/>
      <c r="H12" s="281"/>
      <c r="I12" s="284"/>
      <c r="J12" s="19"/>
      <c r="K12" s="25"/>
      <c r="L12" s="26"/>
      <c r="M12" s="29"/>
    </row>
    <row r="13" spans="1:13" s="2" customFormat="1" ht="30" customHeight="1">
      <c r="A13" s="285">
        <v>3</v>
      </c>
      <c r="B13" s="303" t="s">
        <v>18</v>
      </c>
      <c r="C13" s="41" t="s">
        <v>30</v>
      </c>
      <c r="D13" s="38" t="s">
        <v>49</v>
      </c>
      <c r="E13" s="24">
        <v>72</v>
      </c>
      <c r="F13" s="32">
        <v>8</v>
      </c>
      <c r="G13" s="277"/>
      <c r="H13" s="285">
        <v>8</v>
      </c>
      <c r="I13" s="297" t="s">
        <v>95</v>
      </c>
      <c r="J13" s="41" t="s">
        <v>39</v>
      </c>
      <c r="K13" s="38" t="s">
        <v>60</v>
      </c>
      <c r="L13" s="24">
        <v>80</v>
      </c>
      <c r="M13" s="40" t="s">
        <v>65</v>
      </c>
    </row>
    <row r="14" spans="1:13" s="2" customFormat="1" ht="30" customHeight="1">
      <c r="A14" s="280"/>
      <c r="B14" s="301"/>
      <c r="C14" s="18" t="s">
        <v>29</v>
      </c>
      <c r="D14" s="22" t="s">
        <v>50</v>
      </c>
      <c r="E14" s="23">
        <v>74</v>
      </c>
      <c r="F14" s="31">
        <v>6</v>
      </c>
      <c r="G14" s="277"/>
      <c r="H14" s="280"/>
      <c r="I14" s="283"/>
      <c r="J14" s="18" t="s">
        <v>40</v>
      </c>
      <c r="K14" s="22" t="s">
        <v>61</v>
      </c>
      <c r="L14" s="23">
        <v>82</v>
      </c>
      <c r="M14" s="28" t="s">
        <v>65</v>
      </c>
    </row>
    <row r="15" spans="1:13" s="2" customFormat="1" ht="30" customHeight="1" thickBot="1">
      <c r="A15" s="281"/>
      <c r="B15" s="302"/>
      <c r="C15" s="19"/>
      <c r="D15" s="25"/>
      <c r="E15" s="26"/>
      <c r="F15" s="33"/>
      <c r="G15" s="277"/>
      <c r="H15" s="281"/>
      <c r="I15" s="284"/>
      <c r="J15" s="19"/>
      <c r="K15" s="25"/>
      <c r="L15" s="26"/>
      <c r="M15" s="29"/>
    </row>
    <row r="16" spans="1:13" s="2" customFormat="1" ht="30" customHeight="1">
      <c r="A16" s="285">
        <v>4</v>
      </c>
      <c r="B16" s="303" t="s">
        <v>19</v>
      </c>
      <c r="C16" s="41" t="s">
        <v>31</v>
      </c>
      <c r="D16" s="38" t="s">
        <v>51</v>
      </c>
      <c r="E16" s="24">
        <v>66</v>
      </c>
      <c r="F16" s="32">
        <v>14</v>
      </c>
      <c r="G16" s="277"/>
      <c r="H16" s="279">
        <v>9</v>
      </c>
      <c r="I16" s="282" t="s">
        <v>23</v>
      </c>
      <c r="J16" s="17" t="s">
        <v>41</v>
      </c>
      <c r="K16" s="20" t="s">
        <v>62</v>
      </c>
      <c r="L16" s="21">
        <v>65</v>
      </c>
      <c r="M16" s="27">
        <v>15</v>
      </c>
    </row>
    <row r="17" spans="1:13" s="2" customFormat="1" ht="30" customHeight="1">
      <c r="A17" s="280"/>
      <c r="B17" s="301"/>
      <c r="C17" s="18" t="s">
        <v>32</v>
      </c>
      <c r="D17" s="22" t="s">
        <v>52</v>
      </c>
      <c r="E17" s="23">
        <v>81</v>
      </c>
      <c r="F17" s="31" t="s">
        <v>65</v>
      </c>
      <c r="G17" s="277"/>
      <c r="H17" s="280"/>
      <c r="I17" s="283"/>
      <c r="J17" s="18" t="s">
        <v>42</v>
      </c>
      <c r="K17" s="22" t="s">
        <v>63</v>
      </c>
      <c r="L17" s="23">
        <v>81</v>
      </c>
      <c r="M17" s="28" t="s">
        <v>65</v>
      </c>
    </row>
    <row r="18" spans="1:13" s="2" customFormat="1" ht="30" customHeight="1" thickBot="1">
      <c r="A18" s="289"/>
      <c r="B18" s="304"/>
      <c r="C18" s="34"/>
      <c r="D18" s="35"/>
      <c r="E18" s="36"/>
      <c r="F18" s="37"/>
      <c r="G18" s="277"/>
      <c r="H18" s="281"/>
      <c r="I18" s="284"/>
      <c r="J18" s="19" t="s">
        <v>43</v>
      </c>
      <c r="K18" s="25" t="s">
        <v>64</v>
      </c>
      <c r="L18" s="26">
        <v>70</v>
      </c>
      <c r="M18" s="29">
        <v>10</v>
      </c>
    </row>
    <row r="19" spans="1:13" s="2" customFormat="1" ht="30" customHeight="1">
      <c r="A19" s="279">
        <v>5</v>
      </c>
      <c r="B19" s="300" t="s">
        <v>20</v>
      </c>
      <c r="C19" s="17" t="s">
        <v>33</v>
      </c>
      <c r="D19" s="20" t="s">
        <v>53</v>
      </c>
      <c r="E19" s="21">
        <v>63</v>
      </c>
      <c r="F19" s="30">
        <v>17</v>
      </c>
      <c r="G19" s="277"/>
      <c r="H19" s="285">
        <v>10</v>
      </c>
      <c r="I19" s="286"/>
      <c r="J19" s="41"/>
      <c r="K19" s="42"/>
      <c r="L19" s="15"/>
      <c r="M19" s="43"/>
    </row>
    <row r="20" spans="1:13" s="2" customFormat="1" ht="30" customHeight="1">
      <c r="A20" s="280"/>
      <c r="B20" s="301"/>
      <c r="C20" s="18" t="s">
        <v>34</v>
      </c>
      <c r="D20" s="22" t="s">
        <v>54</v>
      </c>
      <c r="E20" s="23">
        <v>80</v>
      </c>
      <c r="F20" s="31" t="s">
        <v>65</v>
      </c>
      <c r="G20" s="277"/>
      <c r="H20" s="280"/>
      <c r="I20" s="287"/>
      <c r="J20" s="18"/>
      <c r="K20" s="13"/>
      <c r="L20" s="9"/>
      <c r="M20" s="11"/>
    </row>
    <row r="21" spans="1:13" s="2" customFormat="1" ht="30" customHeight="1" thickBot="1">
      <c r="A21" s="281"/>
      <c r="B21" s="302"/>
      <c r="C21" s="19" t="s">
        <v>35</v>
      </c>
      <c r="D21" s="25" t="s">
        <v>55</v>
      </c>
      <c r="E21" s="26">
        <v>76</v>
      </c>
      <c r="F21" s="33">
        <v>4</v>
      </c>
      <c r="G21" s="278"/>
      <c r="H21" s="281"/>
      <c r="I21" s="288"/>
      <c r="J21" s="19"/>
      <c r="K21" s="14"/>
      <c r="L21" s="10"/>
      <c r="M21" s="12"/>
    </row>
  </sheetData>
  <mergeCells count="35">
    <mergeCell ref="I13:I15"/>
    <mergeCell ref="F5:F6"/>
    <mergeCell ref="B19:B21"/>
    <mergeCell ref="B13:B15"/>
    <mergeCell ref="B7:B9"/>
    <mergeCell ref="B10:B12"/>
    <mergeCell ref="B16:B18"/>
    <mergeCell ref="E5:E6"/>
    <mergeCell ref="I7:I9"/>
    <mergeCell ref="H13:H15"/>
    <mergeCell ref="B5:B6"/>
    <mergeCell ref="H10:H12"/>
    <mergeCell ref="I10:I12"/>
    <mergeCell ref="D5:D6"/>
    <mergeCell ref="A13:A15"/>
    <mergeCell ref="A16:A18"/>
    <mergeCell ref="A19:A21"/>
    <mergeCell ref="A7:A9"/>
    <mergeCell ref="A10:A12"/>
    <mergeCell ref="A1:M1"/>
    <mergeCell ref="G5:G21"/>
    <mergeCell ref="H16:H18"/>
    <mergeCell ref="I16:I18"/>
    <mergeCell ref="H19:H21"/>
    <mergeCell ref="I19:I21"/>
    <mergeCell ref="A5:A6"/>
    <mergeCell ref="L5:L6"/>
    <mergeCell ref="H7:H9"/>
    <mergeCell ref="M5:M6"/>
    <mergeCell ref="A3:M3"/>
    <mergeCell ref="H5:H6"/>
    <mergeCell ref="K5:K6"/>
    <mergeCell ref="I5:I6"/>
    <mergeCell ref="C5:C6"/>
    <mergeCell ref="J5:J6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87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tabSelected="1" zoomScale="110" zoomScaleNormal="110" workbookViewId="0">
      <selection activeCell="E8" sqref="E8"/>
    </sheetView>
  </sheetViews>
  <sheetFormatPr defaultRowHeight="15"/>
  <cols>
    <col min="1" max="1" width="8.8554687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6.7109375" style="1" customWidth="1"/>
    <col min="8" max="8" width="11.140625" style="1" customWidth="1"/>
    <col min="9" max="9" width="9" style="1" customWidth="1"/>
  </cols>
  <sheetData>
    <row r="1" spans="1:9" ht="19.5">
      <c r="A1" s="308" t="s">
        <v>181</v>
      </c>
      <c r="B1" s="308"/>
      <c r="C1" s="308"/>
      <c r="D1" s="308"/>
      <c r="E1" s="308"/>
      <c r="F1" s="308"/>
      <c r="G1" s="308"/>
      <c r="H1" s="308"/>
      <c r="I1" s="308"/>
    </row>
    <row r="2" spans="1:9" ht="17.25">
      <c r="A2" s="316" t="s">
        <v>180</v>
      </c>
      <c r="B2" s="316"/>
      <c r="C2" s="316"/>
      <c r="D2" s="316"/>
      <c r="E2" s="316"/>
      <c r="F2" s="316"/>
      <c r="G2" s="316"/>
      <c r="H2" s="316"/>
      <c r="I2" s="316"/>
    </row>
    <row r="3" spans="1:9" ht="6" customHeight="1" thickBot="1"/>
    <row r="4" spans="1:9" s="2" customFormat="1">
      <c r="A4" s="309" t="s">
        <v>66</v>
      </c>
      <c r="B4" s="311" t="s">
        <v>3</v>
      </c>
      <c r="C4" s="313" t="s">
        <v>67</v>
      </c>
      <c r="D4" s="309" t="s">
        <v>68</v>
      </c>
      <c r="E4" s="292"/>
      <c r="F4" s="315" t="s">
        <v>69</v>
      </c>
      <c r="G4" s="311"/>
      <c r="H4" s="309" t="s">
        <v>70</v>
      </c>
      <c r="I4" s="292"/>
    </row>
    <row r="5" spans="1:9" s="47" customFormat="1" ht="15.75" thickBot="1">
      <c r="A5" s="310"/>
      <c r="B5" s="312"/>
      <c r="C5" s="314"/>
      <c r="D5" s="4" t="s">
        <v>71</v>
      </c>
      <c r="E5" s="45" t="s">
        <v>66</v>
      </c>
      <c r="F5" s="14" t="s">
        <v>72</v>
      </c>
      <c r="G5" s="46" t="s">
        <v>73</v>
      </c>
      <c r="H5" s="4" t="s">
        <v>71</v>
      </c>
      <c r="I5" s="45" t="s">
        <v>74</v>
      </c>
    </row>
    <row r="6" spans="1:9" s="2" customFormat="1" ht="24.95" customHeight="1">
      <c r="A6" s="48">
        <v>1</v>
      </c>
      <c r="B6" s="49" t="s">
        <v>77</v>
      </c>
      <c r="C6" s="44">
        <v>7</v>
      </c>
      <c r="D6" s="50">
        <v>41.84</v>
      </c>
      <c r="E6" s="44">
        <v>6</v>
      </c>
      <c r="F6" s="51">
        <v>334</v>
      </c>
      <c r="G6" s="77" t="s">
        <v>182</v>
      </c>
      <c r="H6" s="48">
        <v>40.83</v>
      </c>
      <c r="I6" s="44">
        <v>85</v>
      </c>
    </row>
    <row r="7" spans="1:9" s="2" customFormat="1" ht="24.95" customHeight="1">
      <c r="A7" s="5">
        <v>2</v>
      </c>
      <c r="B7" s="52" t="s">
        <v>75</v>
      </c>
      <c r="C7" s="53">
        <v>6</v>
      </c>
      <c r="D7" s="5">
        <v>41.56</v>
      </c>
      <c r="E7" s="53">
        <v>4</v>
      </c>
      <c r="F7" s="13">
        <v>334</v>
      </c>
      <c r="G7" s="54" t="s">
        <v>88</v>
      </c>
      <c r="H7" s="55">
        <v>41.11</v>
      </c>
      <c r="I7" s="53">
        <v>256</v>
      </c>
    </row>
    <row r="8" spans="1:9" s="2" customFormat="1" ht="24.95" customHeight="1">
      <c r="A8" s="5">
        <v>3</v>
      </c>
      <c r="B8" s="52" t="s">
        <v>78</v>
      </c>
      <c r="C8" s="53">
        <v>3</v>
      </c>
      <c r="D8" s="5">
        <v>41.53</v>
      </c>
      <c r="E8" s="53">
        <v>3</v>
      </c>
      <c r="F8" s="13">
        <v>334</v>
      </c>
      <c r="G8" s="54" t="s">
        <v>89</v>
      </c>
      <c r="H8" s="56">
        <v>40.909999999999997</v>
      </c>
      <c r="I8" s="53">
        <v>313</v>
      </c>
    </row>
    <row r="9" spans="1:9" s="2" customFormat="1" ht="24.95" customHeight="1">
      <c r="A9" s="5">
        <v>4</v>
      </c>
      <c r="B9" s="52" t="s">
        <v>79</v>
      </c>
      <c r="C9" s="53">
        <v>5</v>
      </c>
      <c r="D9" s="5">
        <v>41.25</v>
      </c>
      <c r="E9" s="53">
        <v>2</v>
      </c>
      <c r="F9" s="13">
        <v>333</v>
      </c>
      <c r="G9" s="54" t="s">
        <v>76</v>
      </c>
      <c r="H9" s="56">
        <v>40.880000000000003</v>
      </c>
      <c r="I9" s="53">
        <v>26</v>
      </c>
    </row>
    <row r="10" spans="1:9" s="2" customFormat="1" ht="24.95" customHeight="1">
      <c r="A10" s="5">
        <v>5</v>
      </c>
      <c r="B10" s="52" t="s">
        <v>80</v>
      </c>
      <c r="C10" s="53">
        <v>2</v>
      </c>
      <c r="D10" s="79">
        <v>40.83</v>
      </c>
      <c r="E10" s="80">
        <v>1</v>
      </c>
      <c r="F10" s="13">
        <v>332</v>
      </c>
      <c r="G10" s="54" t="s">
        <v>84</v>
      </c>
      <c r="H10" s="79">
        <v>40.69</v>
      </c>
      <c r="I10" s="53">
        <v>85</v>
      </c>
    </row>
    <row r="11" spans="1:9" s="2" customFormat="1" ht="24.95" customHeight="1">
      <c r="A11" s="5">
        <v>6</v>
      </c>
      <c r="B11" s="52" t="s">
        <v>81</v>
      </c>
      <c r="C11" s="53">
        <v>8</v>
      </c>
      <c r="D11" s="5">
        <v>41.79</v>
      </c>
      <c r="E11" s="53">
        <v>5</v>
      </c>
      <c r="F11" s="13">
        <v>332</v>
      </c>
      <c r="G11" s="54" t="s">
        <v>84</v>
      </c>
      <c r="H11" s="5">
        <v>41.11</v>
      </c>
      <c r="I11" s="53">
        <v>113</v>
      </c>
    </row>
    <row r="12" spans="1:9" s="2" customFormat="1" ht="24.95" customHeight="1">
      <c r="A12" s="5">
        <v>7</v>
      </c>
      <c r="B12" s="52" t="s">
        <v>173</v>
      </c>
      <c r="C12" s="53">
        <v>4</v>
      </c>
      <c r="D12" s="5">
        <v>42.05</v>
      </c>
      <c r="E12" s="53">
        <v>7</v>
      </c>
      <c r="F12" s="13">
        <v>329</v>
      </c>
      <c r="G12" s="54" t="s">
        <v>85</v>
      </c>
      <c r="H12" s="5">
        <v>41.31</v>
      </c>
      <c r="I12" s="53">
        <v>11</v>
      </c>
    </row>
    <row r="13" spans="1:9" s="2" customFormat="1" ht="24.95" customHeight="1">
      <c r="A13" s="5">
        <v>8</v>
      </c>
      <c r="B13" s="57" t="s">
        <v>82</v>
      </c>
      <c r="C13" s="58">
        <v>9</v>
      </c>
      <c r="D13" s="6">
        <v>42.34</v>
      </c>
      <c r="E13" s="58">
        <v>8</v>
      </c>
      <c r="F13" s="59">
        <v>322</v>
      </c>
      <c r="G13" s="54" t="s">
        <v>86</v>
      </c>
      <c r="H13" s="6">
        <v>41.88</v>
      </c>
      <c r="I13" s="58">
        <v>266</v>
      </c>
    </row>
    <row r="14" spans="1:9" s="2" customFormat="1" ht="24.95" customHeight="1" thickBot="1">
      <c r="A14" s="4">
        <v>9</v>
      </c>
      <c r="B14" s="60" t="s">
        <v>83</v>
      </c>
      <c r="C14" s="45">
        <v>1</v>
      </c>
      <c r="D14" s="4">
        <v>43.36</v>
      </c>
      <c r="E14" s="45">
        <v>9</v>
      </c>
      <c r="F14" s="14">
        <v>319</v>
      </c>
      <c r="G14" s="45" t="s">
        <v>87</v>
      </c>
      <c r="H14" s="4">
        <v>41.52</v>
      </c>
      <c r="I14" s="45">
        <v>194</v>
      </c>
    </row>
    <row r="17" spans="1:1">
      <c r="A17" s="78"/>
    </row>
  </sheetData>
  <mergeCells count="8">
    <mergeCell ref="A1:I1"/>
    <mergeCell ref="A4:A5"/>
    <mergeCell ref="B4:B5"/>
    <mergeCell ref="C4:C5"/>
    <mergeCell ref="D4:E4"/>
    <mergeCell ref="F4:G4"/>
    <mergeCell ref="H4:I4"/>
    <mergeCell ref="A2:I2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Q40"/>
  <sheetViews>
    <sheetView zoomScale="75" zoomScaleNormal="75" workbookViewId="0">
      <selection activeCell="E25" sqref="E25"/>
    </sheetView>
  </sheetViews>
  <sheetFormatPr defaultRowHeight="15"/>
  <cols>
    <col min="1" max="1" width="7.7109375" style="1" customWidth="1"/>
    <col min="2" max="2" width="21.85546875" customWidth="1"/>
    <col min="3" max="3" width="13.85546875" style="1" customWidth="1"/>
    <col min="4" max="4" width="12.85546875" style="1" customWidth="1"/>
    <col min="5" max="5" width="8.28515625" style="1" customWidth="1"/>
    <col min="6" max="6" width="6.28515625" customWidth="1"/>
    <col min="7" max="7" width="7.85546875" style="1" customWidth="1"/>
    <col min="8" max="8" width="21" customWidth="1"/>
    <col min="9" max="9" width="14.140625" style="1" customWidth="1"/>
    <col min="10" max="10" width="13" style="1" customWidth="1"/>
    <col min="11" max="11" width="8.7109375" style="1" customWidth="1"/>
    <col min="13" max="13" width="7.85546875" style="1" customWidth="1"/>
    <col min="14" max="14" width="21" customWidth="1"/>
    <col min="15" max="15" width="14.140625" style="1" customWidth="1"/>
    <col min="16" max="16" width="13" style="1" customWidth="1"/>
    <col min="17" max="17" width="8.7109375" style="1" customWidth="1"/>
  </cols>
  <sheetData>
    <row r="1" spans="1:17" ht="26.25">
      <c r="A1" s="275" t="s">
        <v>15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</row>
    <row r="2" spans="1:17" ht="4.5" customHeight="1"/>
    <row r="3" spans="1:17" ht="23.25">
      <c r="A3" s="327" t="s">
        <v>106</v>
      </c>
      <c r="B3" s="327"/>
      <c r="C3" s="327"/>
      <c r="D3" s="327"/>
      <c r="E3" s="327"/>
      <c r="F3" s="117"/>
      <c r="G3" s="327" t="s">
        <v>107</v>
      </c>
      <c r="H3" s="327"/>
      <c r="I3" s="327"/>
      <c r="J3" s="327"/>
      <c r="K3" s="327"/>
      <c r="M3" s="327" t="s">
        <v>115</v>
      </c>
      <c r="N3" s="327"/>
      <c r="O3" s="327"/>
      <c r="P3" s="327"/>
      <c r="Q3" s="327"/>
    </row>
    <row r="4" spans="1:17" ht="3.75" customHeight="1" thickBot="1"/>
    <row r="5" spans="1:17" s="89" customFormat="1" ht="16.5" customHeight="1">
      <c r="A5" s="319"/>
      <c r="B5" s="321" t="s">
        <v>2</v>
      </c>
      <c r="C5" s="323" t="s">
        <v>3</v>
      </c>
      <c r="D5" s="325" t="s">
        <v>103</v>
      </c>
      <c r="E5" s="317" t="s">
        <v>5</v>
      </c>
      <c r="F5" s="90"/>
      <c r="G5" s="319"/>
      <c r="H5" s="321" t="s">
        <v>2</v>
      </c>
      <c r="I5" s="323" t="s">
        <v>3</v>
      </c>
      <c r="J5" s="325" t="s">
        <v>108</v>
      </c>
      <c r="K5" s="317" t="s">
        <v>5</v>
      </c>
      <c r="M5" s="319"/>
      <c r="N5" s="321" t="s">
        <v>2</v>
      </c>
      <c r="O5" s="323" t="s">
        <v>3</v>
      </c>
      <c r="P5" s="325" t="s">
        <v>112</v>
      </c>
      <c r="Q5" s="317" t="s">
        <v>5</v>
      </c>
    </row>
    <row r="6" spans="1:17" s="89" customFormat="1" ht="17.25" customHeight="1" thickBot="1">
      <c r="A6" s="320"/>
      <c r="B6" s="322"/>
      <c r="C6" s="324"/>
      <c r="D6" s="326"/>
      <c r="E6" s="318"/>
      <c r="F6" s="90"/>
      <c r="G6" s="320"/>
      <c r="H6" s="322"/>
      <c r="I6" s="324"/>
      <c r="J6" s="326"/>
      <c r="K6" s="318"/>
      <c r="M6" s="328"/>
      <c r="N6" s="329"/>
      <c r="O6" s="330"/>
      <c r="P6" s="331"/>
      <c r="Q6" s="332"/>
    </row>
    <row r="7" spans="1:17" s="2" customFormat="1" ht="27.95" customHeight="1">
      <c r="A7" s="126">
        <v>1</v>
      </c>
      <c r="B7" s="127" t="s">
        <v>28</v>
      </c>
      <c r="C7" s="128" t="s">
        <v>17</v>
      </c>
      <c r="D7" s="129">
        <v>40.69</v>
      </c>
      <c r="E7" s="130">
        <v>1</v>
      </c>
      <c r="F7" s="93"/>
      <c r="G7" s="126">
        <v>1</v>
      </c>
      <c r="H7" s="127" t="s">
        <v>28</v>
      </c>
      <c r="I7" s="128" t="s">
        <v>17</v>
      </c>
      <c r="J7" s="143">
        <f>(41.14+40.94+41.07+41.43+40.85+40.96+40.79+41.02+40.87+41.56+41.03+41.02+40.84+40.98+40.87+42.26+41.51+40.95+40.89+40.95)/20</f>
        <v>41.096500000000006</v>
      </c>
      <c r="K7" s="130">
        <v>2</v>
      </c>
      <c r="M7" s="165">
        <v>1</v>
      </c>
      <c r="N7" s="166" t="s">
        <v>34</v>
      </c>
      <c r="O7" s="167" t="s">
        <v>20</v>
      </c>
      <c r="P7" s="168">
        <v>0.27423076923076195</v>
      </c>
      <c r="Q7" s="169">
        <v>13</v>
      </c>
    </row>
    <row r="8" spans="1:17" s="2" customFormat="1" ht="27.95" customHeight="1">
      <c r="A8" s="131">
        <v>2</v>
      </c>
      <c r="B8" s="132" t="s">
        <v>28</v>
      </c>
      <c r="C8" s="133" t="s">
        <v>17</v>
      </c>
      <c r="D8" s="133">
        <v>40.79</v>
      </c>
      <c r="E8" s="134">
        <v>2</v>
      </c>
      <c r="F8" s="93"/>
      <c r="G8" s="156">
        <v>2</v>
      </c>
      <c r="H8" s="157" t="s">
        <v>34</v>
      </c>
      <c r="I8" s="158" t="s">
        <v>20</v>
      </c>
      <c r="J8" s="161">
        <f>(41.96+41.2+41.32+41.23+41.13+41.22+41.2+41.08+41.09+41.18+41.81+41.04+40.97+40.99+41+41.26+40.89+41.13+41.07+41.01+41.25+40.92+41.01+41.17+41.1+41.04)/26</f>
        <v>41.164230769230763</v>
      </c>
      <c r="K8" s="160">
        <v>13</v>
      </c>
      <c r="M8" s="162">
        <v>2</v>
      </c>
      <c r="N8" s="95" t="s">
        <v>29</v>
      </c>
      <c r="O8" s="96" t="s">
        <v>18</v>
      </c>
      <c r="P8" s="122">
        <v>0.28418181818183541</v>
      </c>
      <c r="Q8" s="94">
        <v>1</v>
      </c>
    </row>
    <row r="9" spans="1:17" s="2" customFormat="1" ht="27.95" customHeight="1">
      <c r="A9" s="145">
        <v>3</v>
      </c>
      <c r="B9" s="146" t="s">
        <v>21</v>
      </c>
      <c r="C9" s="147" t="s">
        <v>22</v>
      </c>
      <c r="D9" s="148">
        <v>40.83</v>
      </c>
      <c r="E9" s="149">
        <v>13</v>
      </c>
      <c r="F9" s="93"/>
      <c r="G9" s="92">
        <v>3</v>
      </c>
      <c r="H9" s="95" t="s">
        <v>29</v>
      </c>
      <c r="I9" s="96" t="s">
        <v>18</v>
      </c>
      <c r="J9" s="124">
        <f>(41.93+41.25+41.85+41.29+41.34+41.25+41.27+41.19+41.26+41.22+41.02+41.12+41.16+41.22+41.04+41.08+41.13+41.13+41.19+41.14+41.13+41.13+41.23+41.05+41.01+41.13+40.99+41.17+41.32+41+41.25+41.13+41.04+41.13+40.91+41.11+41.02+40.95+41.03+41.16+41.22+41.31+41+40.99+41.03+41.54+40.98+41.25+40.98+41.86+41.19+41.85+41.19+41.13+41.19)/55</f>
        <v>41.194181818181832</v>
      </c>
      <c r="K9" s="94">
        <v>1</v>
      </c>
      <c r="M9" s="162">
        <v>3</v>
      </c>
      <c r="N9" s="95" t="s">
        <v>29</v>
      </c>
      <c r="O9" s="96" t="s">
        <v>18</v>
      </c>
      <c r="P9" s="122">
        <v>0.29283582089551885</v>
      </c>
      <c r="Q9" s="94">
        <v>6</v>
      </c>
    </row>
    <row r="10" spans="1:17" s="2" customFormat="1" ht="27.95" customHeight="1">
      <c r="A10" s="145">
        <v>4</v>
      </c>
      <c r="B10" s="146" t="s">
        <v>102</v>
      </c>
      <c r="C10" s="147" t="s">
        <v>22</v>
      </c>
      <c r="D10" s="150">
        <v>40.869999999999997</v>
      </c>
      <c r="E10" s="149">
        <v>13</v>
      </c>
      <c r="F10" s="93"/>
      <c r="G10" s="156">
        <v>4</v>
      </c>
      <c r="H10" s="157" t="s">
        <v>34</v>
      </c>
      <c r="I10" s="158" t="s">
        <v>20</v>
      </c>
      <c r="J10" s="161">
        <f>(41.22+41.19+41.44+41.86+41.33+41.22+41.33+40.97+41.05+41.04+41.04+41.71+41.19+41.22+41.08+41.1+41.08+41.29+41.37+41.23+41.09+41.13+41.2+41.02+40.88+41.11+41.1+41.36+41.49+41.23+41.17)/31</f>
        <v>41.217419354838711</v>
      </c>
      <c r="K10" s="160">
        <v>6</v>
      </c>
      <c r="M10" s="131">
        <v>4</v>
      </c>
      <c r="N10" s="132" t="s">
        <v>28</v>
      </c>
      <c r="O10" s="133" t="s">
        <v>17</v>
      </c>
      <c r="P10" s="171">
        <v>0.30650000000000688</v>
      </c>
      <c r="Q10" s="134">
        <v>2</v>
      </c>
    </row>
    <row r="11" spans="1:17" s="2" customFormat="1" ht="27.95" customHeight="1">
      <c r="A11" s="156">
        <v>5</v>
      </c>
      <c r="B11" s="157" t="s">
        <v>34</v>
      </c>
      <c r="C11" s="158" t="s">
        <v>20</v>
      </c>
      <c r="D11" s="159">
        <v>40.880000000000003</v>
      </c>
      <c r="E11" s="160">
        <v>6</v>
      </c>
      <c r="F11" s="93"/>
      <c r="G11" s="145">
        <v>5</v>
      </c>
      <c r="H11" s="146" t="s">
        <v>21</v>
      </c>
      <c r="I11" s="147" t="s">
        <v>22</v>
      </c>
      <c r="J11" s="151">
        <f>(42.48+41.61+41.08+41.51+41.43+41.2+41.01+41.01+41.12+41.3+41.15+41+41.21+40.89+41.11+41.14+41.14+42.16+41.35+41.19+41.18+41.18+41.09+42.34+41.27+41.03+41.22+41.1+41.34+41.17+41.16+41.09+41.32+41.08+41.24+41.22+41.62+41.11+41.06+41.55+41.01+41.05+40.91+41.03+40.98+42.02+41.22+41.17+41.55+41.19+40.99+40.96+40.95+40.94+41.1+41.36+40.91+40.9+41.13)/59</f>
        <v>41.234406779661001</v>
      </c>
      <c r="K11" s="149">
        <v>1</v>
      </c>
      <c r="M11" s="156">
        <v>5</v>
      </c>
      <c r="N11" s="157" t="s">
        <v>34</v>
      </c>
      <c r="O11" s="158" t="s">
        <v>20</v>
      </c>
      <c r="P11" s="170">
        <v>0.31872340425532286</v>
      </c>
      <c r="Q11" s="160">
        <v>21</v>
      </c>
    </row>
    <row r="12" spans="1:17" s="2" customFormat="1" ht="27.95" customHeight="1">
      <c r="A12" s="145">
        <v>6</v>
      </c>
      <c r="B12" s="146" t="s">
        <v>21</v>
      </c>
      <c r="C12" s="147" t="s">
        <v>22</v>
      </c>
      <c r="D12" s="147">
        <v>40.89</v>
      </c>
      <c r="E12" s="149">
        <v>1</v>
      </c>
      <c r="F12" s="93"/>
      <c r="G12" s="145">
        <v>6</v>
      </c>
      <c r="H12" s="146" t="s">
        <v>102</v>
      </c>
      <c r="I12" s="147" t="s">
        <v>22</v>
      </c>
      <c r="J12" s="151">
        <f>(42.09+41.18+41.74+41.77+41.75+42.25+41.31+41.17+41.41+41.29+41.16+41.13+41.14+40.9+41.46+41.12+41.2+40.97+40.98+41.09)/20</f>
        <v>41.355500000000013</v>
      </c>
      <c r="K12" s="149">
        <v>1</v>
      </c>
      <c r="M12" s="152">
        <v>6</v>
      </c>
      <c r="N12" s="178" t="s">
        <v>36</v>
      </c>
      <c r="O12" s="154" t="s">
        <v>96</v>
      </c>
      <c r="P12" s="164">
        <v>0.32150000000000034</v>
      </c>
      <c r="Q12" s="179" t="s">
        <v>93</v>
      </c>
    </row>
    <row r="13" spans="1:17" s="2" customFormat="1" ht="27.95" customHeight="1">
      <c r="A13" s="156">
        <v>7</v>
      </c>
      <c r="B13" s="157" t="s">
        <v>34</v>
      </c>
      <c r="C13" s="158" t="s">
        <v>20</v>
      </c>
      <c r="D13" s="158">
        <v>40.89</v>
      </c>
      <c r="E13" s="160">
        <v>13</v>
      </c>
      <c r="F13" s="93"/>
      <c r="G13" s="156">
        <v>7</v>
      </c>
      <c r="H13" s="157" t="s">
        <v>34</v>
      </c>
      <c r="I13" s="158" t="s">
        <v>20</v>
      </c>
      <c r="J13" s="161">
        <f>(42.16+41.75+41.37+41.62+41.19+41.21+41.25+41.29+41.06+41.2+41.41+41.21+41.19+41.18+41.5+41.95+41.46+41.17+41.17+41.35+41.32+41.73+41.28+41.69+41.69+41.68+41.25+41.43+41.2+41.18+41.22+41.29+41.34+41.26+41.56+41.21+41.16+41.63+41.39+41.47+41.49+41.48+41.33+41.12+41.31+41.31+41.09)/47</f>
        <v>41.378723404255325</v>
      </c>
      <c r="K13" s="160">
        <v>21</v>
      </c>
      <c r="M13" s="131">
        <v>7</v>
      </c>
      <c r="N13" s="132" t="s">
        <v>27</v>
      </c>
      <c r="O13" s="133" t="s">
        <v>17</v>
      </c>
      <c r="P13" s="171">
        <v>0.32565217391304913</v>
      </c>
      <c r="Q13" s="134">
        <v>2</v>
      </c>
    </row>
    <row r="14" spans="1:17" s="2" customFormat="1" ht="27.95" customHeight="1">
      <c r="A14" s="145">
        <v>8</v>
      </c>
      <c r="B14" s="146" t="s">
        <v>102</v>
      </c>
      <c r="C14" s="147" t="s">
        <v>22</v>
      </c>
      <c r="D14" s="147">
        <v>40.9</v>
      </c>
      <c r="E14" s="149">
        <v>1</v>
      </c>
      <c r="F14" s="93"/>
      <c r="G14" s="145">
        <v>8</v>
      </c>
      <c r="H14" s="146" t="s">
        <v>102</v>
      </c>
      <c r="I14" s="147" t="s">
        <v>22</v>
      </c>
      <c r="J14" s="151">
        <f>(44.04+42.14+41.24+41.25+41.23+41.08+41.86+41.43+41.2+41.1+41.12+41.35+41.49+41.05+41.19+41.4+40.87+41.1+41.03+41.18+41.44+41.03+41.07+41.11+41.24+41.09+42.29+40.99+41.23+41.67+41.4+41.37+41.49+41.78+41.48+41.81)/36</f>
        <v>41.412222222222219</v>
      </c>
      <c r="K14" s="149">
        <v>13</v>
      </c>
      <c r="M14" s="131">
        <v>8</v>
      </c>
      <c r="N14" s="132" t="s">
        <v>28</v>
      </c>
      <c r="O14" s="133" t="s">
        <v>17</v>
      </c>
      <c r="P14" s="171">
        <v>0.32909090909091532</v>
      </c>
      <c r="Q14" s="134">
        <v>4</v>
      </c>
    </row>
    <row r="15" spans="1:17" s="2" customFormat="1" ht="27.95" customHeight="1">
      <c r="A15" s="92">
        <v>9</v>
      </c>
      <c r="B15" s="95" t="s">
        <v>29</v>
      </c>
      <c r="C15" s="96" t="s">
        <v>18</v>
      </c>
      <c r="D15" s="97">
        <v>40.909999999999997</v>
      </c>
      <c r="E15" s="94">
        <v>1</v>
      </c>
      <c r="F15" s="93"/>
      <c r="G15" s="145">
        <v>9</v>
      </c>
      <c r="H15" s="146" t="s">
        <v>102</v>
      </c>
      <c r="I15" s="147" t="s">
        <v>22</v>
      </c>
      <c r="J15" s="151">
        <f>(42.22+41.75+41.65+41.4+41.25+41.41+41.29+41.27+41.64+41.04+41.23+41.16+41.58+41.24+41.19+41.29+41.18+41.26+41.15+41.45+41.35+41.25+41.35+41.6+41.23+42.34+41.56+41.42+41.69+41.42+41.43+41.33+41.23+41.57+41.32)/35</f>
        <v>41.421142857142854</v>
      </c>
      <c r="K15" s="149">
        <v>3</v>
      </c>
      <c r="M15" s="156">
        <v>9</v>
      </c>
      <c r="N15" s="157" t="s">
        <v>34</v>
      </c>
      <c r="O15" s="158" t="s">
        <v>20</v>
      </c>
      <c r="P15" s="170">
        <v>0.33741935483870833</v>
      </c>
      <c r="Q15" s="160">
        <v>6</v>
      </c>
    </row>
    <row r="16" spans="1:17" s="2" customFormat="1" ht="27.95" customHeight="1">
      <c r="A16" s="131">
        <v>10</v>
      </c>
      <c r="B16" s="132" t="s">
        <v>28</v>
      </c>
      <c r="C16" s="133" t="s">
        <v>17</v>
      </c>
      <c r="D16" s="133">
        <v>40.94</v>
      </c>
      <c r="E16" s="134">
        <v>21</v>
      </c>
      <c r="F16" s="93"/>
      <c r="G16" s="131">
        <v>10</v>
      </c>
      <c r="H16" s="132" t="s">
        <v>28</v>
      </c>
      <c r="I16" s="133" t="s">
        <v>17</v>
      </c>
      <c r="J16" s="144">
        <f>(41.92+41.37+41.79+41.32+41.4+41.42+41.55+41.4+41.24+41.16+41.43+41.77+41.43+41.96+41.27+41.43+41.32+41.37+41.42+41.36+41.3+41.38+41.3+41.38+41.56+41.29+41.31+40.94+41.6+41.33+41.44+41.48+41.55+41.59+41.4+41.28+41.3+41.31+41.21+41.18+41.41+41.35+41.73+41.18+41.14+42.07+41.74+41.42+41.4+41.4+41.37)/51</f>
        <v>41.424901960784304</v>
      </c>
      <c r="K16" s="134">
        <v>21</v>
      </c>
      <c r="M16" s="145">
        <v>10</v>
      </c>
      <c r="N16" s="146" t="s">
        <v>21</v>
      </c>
      <c r="O16" s="147" t="s">
        <v>22</v>
      </c>
      <c r="P16" s="172">
        <v>0.34440677966099997</v>
      </c>
      <c r="Q16" s="149">
        <v>1</v>
      </c>
    </row>
    <row r="17" spans="1:17" s="2" customFormat="1" ht="27.95" customHeight="1">
      <c r="A17" s="145">
        <v>11</v>
      </c>
      <c r="B17" s="146" t="s">
        <v>102</v>
      </c>
      <c r="C17" s="147" t="s">
        <v>22</v>
      </c>
      <c r="D17" s="147">
        <v>41.04</v>
      </c>
      <c r="E17" s="149">
        <v>3</v>
      </c>
      <c r="F17" s="93"/>
      <c r="G17" s="92">
        <v>11</v>
      </c>
      <c r="H17" s="95" t="s">
        <v>29</v>
      </c>
      <c r="I17" s="96" t="s">
        <v>18</v>
      </c>
      <c r="J17" s="124">
        <f>(42.91+41.65+41.33+41.62+41.48+41.09+41.17+41.09+41.23+41.28+41.35+41.19+41.04+41.51+41.26+41.18+41.18+41.33+41.38+41.41+41.19+41.71+41.29+41.4+41.2+41.18+42.02+41.18+41.33+41.53+41.42+41.44+41.37+41.9+41.51+42.58+41.35+41.69+41.37)/39</f>
        <v>41.444615384615375</v>
      </c>
      <c r="K17" s="94">
        <v>3</v>
      </c>
      <c r="M17" s="152">
        <v>11</v>
      </c>
      <c r="N17" s="153" t="s">
        <v>36</v>
      </c>
      <c r="O17" s="154" t="s">
        <v>96</v>
      </c>
      <c r="P17" s="164">
        <v>0.34458333333333968</v>
      </c>
      <c r="Q17" s="155">
        <v>6</v>
      </c>
    </row>
    <row r="18" spans="1:17" s="2" customFormat="1" ht="27.95" customHeight="1">
      <c r="A18" s="92">
        <v>12</v>
      </c>
      <c r="B18" s="95" t="s">
        <v>29</v>
      </c>
      <c r="C18" s="96" t="s">
        <v>18</v>
      </c>
      <c r="D18" s="96">
        <v>41.04</v>
      </c>
      <c r="E18" s="94">
        <v>3</v>
      </c>
      <c r="F18" s="93"/>
      <c r="G18" s="131">
        <v>12</v>
      </c>
      <c r="H18" s="132" t="s">
        <v>28</v>
      </c>
      <c r="I18" s="133" t="s">
        <v>17</v>
      </c>
      <c r="J18" s="144">
        <f>(41.88+41.1+41.05+41.4+41.03+41.08+40.87+41.13+41.05+40.89+41.13+40.86+40.77+40.81+40.75+40.69+40.82+40.94+41.72+42.56+43.72+41.86+41.86+42.56+42.74+41.92+41.57+41.7)/28</f>
        <v>41.445</v>
      </c>
      <c r="K18" s="134">
        <v>1</v>
      </c>
      <c r="M18" s="152">
        <v>12</v>
      </c>
      <c r="N18" s="153" t="s">
        <v>36</v>
      </c>
      <c r="O18" s="154" t="s">
        <v>96</v>
      </c>
      <c r="P18" s="164">
        <v>0.35132075471697988</v>
      </c>
      <c r="Q18" s="155">
        <v>13</v>
      </c>
    </row>
    <row r="19" spans="1:17" s="2" customFormat="1" ht="27.95" customHeight="1">
      <c r="A19" s="156">
        <v>13</v>
      </c>
      <c r="B19" s="157" t="s">
        <v>34</v>
      </c>
      <c r="C19" s="158" t="s">
        <v>20</v>
      </c>
      <c r="D19" s="158">
        <v>41.06</v>
      </c>
      <c r="E19" s="160">
        <v>21</v>
      </c>
      <c r="F19" s="93"/>
      <c r="G19" s="152">
        <v>13</v>
      </c>
      <c r="H19" s="153" t="s">
        <v>36</v>
      </c>
      <c r="I19" s="154" t="s">
        <v>96</v>
      </c>
      <c r="J19" s="180">
        <f>(42.5+41.89+41.65+41.36+41.7+41.9+41.63+41.44+41.53+41.6+41.39+41.35+41.53+42.05+41.48+41.61+41.38+41.29+41.55+41.93+41.55+41.41+41.28+41.54+41.37+41.33+41.41+41.36+41.42+41.47+41.39+41.7+41.46+41.39+41.56+41.53+41.62+41.2+41.69+41.43+41.33+41.53+41.54+41.39+41.23+41.24+41.15+41.28+41.22+41.5+41.21+41.42+41.66)/53</f>
        <v>41.501320754716978</v>
      </c>
      <c r="K19" s="155">
        <v>13</v>
      </c>
      <c r="M19" s="152">
        <v>13</v>
      </c>
      <c r="N19" s="153" t="s">
        <v>37</v>
      </c>
      <c r="O19" s="154" t="s">
        <v>96</v>
      </c>
      <c r="P19" s="164">
        <v>0.3537931034482753</v>
      </c>
      <c r="Q19" s="155">
        <v>4</v>
      </c>
    </row>
    <row r="20" spans="1:17" s="2" customFormat="1" ht="27.95" customHeight="1">
      <c r="A20" s="131">
        <v>14</v>
      </c>
      <c r="B20" s="135" t="s">
        <v>27</v>
      </c>
      <c r="C20" s="133" t="s">
        <v>17</v>
      </c>
      <c r="D20" s="136">
        <v>41.06</v>
      </c>
      <c r="E20" s="137" t="s">
        <v>94</v>
      </c>
      <c r="F20" s="93"/>
      <c r="G20" s="145">
        <v>14</v>
      </c>
      <c r="H20" s="146" t="s">
        <v>21</v>
      </c>
      <c r="I20" s="147" t="s">
        <v>22</v>
      </c>
      <c r="J20" s="151">
        <f>(42.96+41.16+41.6+41.13+41.49+41.14+41.29+41.23+41.07+41.08+41.13+41.21+41.12+41.25+41.26+42.09+40.85+41.14+41.25+41.42+41+40.94+41.11+40.88+40.88+40.83+40.96+41.2+41.76+42.75+43.14+42.15+41.97+42.53+43.74+42.28+41.41+41.33+41.49)/39</f>
        <v>41.518461538461544</v>
      </c>
      <c r="K20" s="149">
        <v>13</v>
      </c>
      <c r="M20" s="162">
        <v>14</v>
      </c>
      <c r="N20" s="95" t="s">
        <v>40</v>
      </c>
      <c r="O20" s="96" t="s">
        <v>101</v>
      </c>
      <c r="P20" s="122">
        <v>0.35682926829267103</v>
      </c>
      <c r="Q20" s="94">
        <v>21</v>
      </c>
    </row>
    <row r="21" spans="1:17" s="2" customFormat="1" ht="27.95" customHeight="1" thickBot="1">
      <c r="A21" s="138">
        <v>15</v>
      </c>
      <c r="B21" s="139" t="s">
        <v>27</v>
      </c>
      <c r="C21" s="140" t="s">
        <v>17</v>
      </c>
      <c r="D21" s="141">
        <v>41.06</v>
      </c>
      <c r="E21" s="142">
        <v>1</v>
      </c>
      <c r="F21" s="100"/>
      <c r="G21" s="99">
        <v>15</v>
      </c>
      <c r="H21" s="119" t="s">
        <v>29</v>
      </c>
      <c r="I21" s="120" t="s">
        <v>18</v>
      </c>
      <c r="J21" s="125">
        <f>(42.72+41.71+41.68+41.61+41.62+41.56+41.94+41.43+41.58+41.53+41.65+41.42+41.44+41.31+41.35+41.41+41.38+41.31+41.67+41.28+41.52+41.28+41.36+41.52+41.46+41.3+41.3+41.33+41.39+41.36+41.24+41.5+41.39+41.33+41.3+42.5+41.39+41.65+41.38+41.54+41.32+41.45+41.45+41.56+41.43+41.48+41.52+41.45+41.38+41.53+41.52+41.53+41.39+41.45+41.34+41.45+41.35+41.47+41.81+41.8+41.58+41.66+42.13+41.72+41.74+41.73+41.82)/67</f>
        <v>41.532835820895521</v>
      </c>
      <c r="K21" s="121">
        <v>6</v>
      </c>
      <c r="M21" s="173">
        <v>15</v>
      </c>
      <c r="N21" s="174" t="s">
        <v>36</v>
      </c>
      <c r="O21" s="175" t="s">
        <v>96</v>
      </c>
      <c r="P21" s="176">
        <v>0.35812499999998693</v>
      </c>
      <c r="Q21" s="177">
        <v>2</v>
      </c>
    </row>
    <row r="22" spans="1:17" ht="3.75" customHeight="1">
      <c r="A22" s="101"/>
      <c r="B22" s="102"/>
      <c r="C22" s="103"/>
      <c r="D22" s="101"/>
      <c r="E22" s="101"/>
      <c r="F22" s="104"/>
      <c r="G22" s="105"/>
      <c r="H22" s="104"/>
      <c r="I22" s="101"/>
      <c r="M22" s="163"/>
      <c r="N22" s="104"/>
      <c r="O22" s="101"/>
    </row>
    <row r="23" spans="1:17" s="113" customFormat="1" ht="21.75" customHeight="1">
      <c r="A23" s="106">
        <v>40.69</v>
      </c>
      <c r="B23" s="107" t="s">
        <v>104</v>
      </c>
      <c r="C23" s="108"/>
      <c r="D23" s="109"/>
      <c r="E23" s="110"/>
      <c r="F23" s="111"/>
      <c r="G23" s="112">
        <v>40.869999999999997</v>
      </c>
      <c r="H23" s="107" t="s">
        <v>105</v>
      </c>
      <c r="I23" s="108"/>
      <c r="J23" s="109"/>
      <c r="K23" s="110"/>
      <c r="M23" s="182" t="s">
        <v>116</v>
      </c>
      <c r="N23" s="107"/>
      <c r="O23" s="108"/>
      <c r="P23" s="109"/>
      <c r="Q23" s="110"/>
    </row>
    <row r="24" spans="1:17" ht="8.25" customHeight="1"/>
    <row r="25" spans="1:17" ht="19.5">
      <c r="A25" s="114" t="s">
        <v>111</v>
      </c>
      <c r="G25" s="115"/>
      <c r="M25" s="115"/>
    </row>
    <row r="26" spans="1:17" ht="19.5">
      <c r="A26" s="114" t="s">
        <v>121</v>
      </c>
      <c r="G26" s="115"/>
      <c r="M26" s="115"/>
    </row>
    <row r="27" spans="1:17" ht="19.5">
      <c r="A27" s="181" t="s">
        <v>110</v>
      </c>
      <c r="G27" s="115"/>
      <c r="M27" s="115"/>
    </row>
    <row r="28" spans="1:17" ht="8.25" customHeight="1">
      <c r="A28" s="114"/>
      <c r="G28" s="115"/>
      <c r="M28" s="115"/>
    </row>
    <row r="29" spans="1:17" ht="18.75">
      <c r="A29" s="116" t="s">
        <v>113</v>
      </c>
    </row>
    <row r="30" spans="1:17" ht="18.75">
      <c r="A30" s="114" t="s">
        <v>114</v>
      </c>
    </row>
    <row r="31" spans="1:17" ht="6.75" customHeight="1">
      <c r="A31" s="114"/>
    </row>
    <row r="32" spans="1:17" ht="18.75">
      <c r="A32" s="114" t="s">
        <v>118</v>
      </c>
    </row>
    <row r="33" spans="1:1" ht="5.25" customHeight="1"/>
    <row r="34" spans="1:1" ht="18.75">
      <c r="A34" s="114" t="s">
        <v>117</v>
      </c>
    </row>
    <row r="35" spans="1:1" ht="18.75">
      <c r="A35" s="114" t="s">
        <v>119</v>
      </c>
    </row>
    <row r="36" spans="1:1" ht="18.75">
      <c r="A36" s="114" t="s">
        <v>120</v>
      </c>
    </row>
    <row r="37" spans="1:1" ht="18.75">
      <c r="A37" s="114" t="s">
        <v>122</v>
      </c>
    </row>
    <row r="38" spans="1:1" ht="18.75">
      <c r="A38" s="114" t="s">
        <v>123</v>
      </c>
    </row>
    <row r="39" spans="1:1" ht="7.5" customHeight="1">
      <c r="A39" s="114"/>
    </row>
    <row r="40" spans="1:1" ht="18.75">
      <c r="A40" s="114" t="s">
        <v>124</v>
      </c>
    </row>
  </sheetData>
  <mergeCells count="19">
    <mergeCell ref="B5:B6"/>
    <mergeCell ref="C5:C6"/>
    <mergeCell ref="D5:D6"/>
    <mergeCell ref="E5:E6"/>
    <mergeCell ref="G5:G6"/>
    <mergeCell ref="H5:H6"/>
    <mergeCell ref="I5:I6"/>
    <mergeCell ref="A1:Q1"/>
    <mergeCell ref="J5:J6"/>
    <mergeCell ref="K5:K6"/>
    <mergeCell ref="A3:E3"/>
    <mergeCell ref="G3:K3"/>
    <mergeCell ref="M3:Q3"/>
    <mergeCell ref="M5:M6"/>
    <mergeCell ref="N5:N6"/>
    <mergeCell ref="O5:O6"/>
    <mergeCell ref="P5:P6"/>
    <mergeCell ref="Q5:Q6"/>
    <mergeCell ref="A5:A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N34"/>
  <sheetViews>
    <sheetView zoomScale="75" zoomScaleNormal="75" workbookViewId="0">
      <selection activeCell="M13" sqref="M13"/>
    </sheetView>
  </sheetViews>
  <sheetFormatPr defaultRowHeight="15"/>
  <cols>
    <col min="1" max="1" width="6" customWidth="1"/>
    <col min="2" max="2" width="21.28515625" customWidth="1"/>
    <col min="3" max="3" width="14.5703125" style="1" customWidth="1"/>
    <col min="4" max="4" width="12.5703125" style="225" customWidth="1"/>
    <col min="5" max="5" width="11" style="1" customWidth="1"/>
    <col min="6" max="6" width="2.85546875" customWidth="1"/>
    <col min="7" max="7" width="6" customWidth="1"/>
    <col min="8" max="8" width="21.28515625" customWidth="1"/>
    <col min="9" max="9" width="14" style="1" customWidth="1"/>
    <col min="10" max="10" width="12.42578125" style="1" customWidth="1"/>
    <col min="11" max="11" width="11.42578125" style="1" customWidth="1"/>
    <col min="12" max="12" width="2.28515625" customWidth="1"/>
  </cols>
  <sheetData>
    <row r="1" spans="1:14" ht="26.25">
      <c r="A1" s="275" t="s">
        <v>15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2" spans="1:14" ht="4.5" customHeight="1">
      <c r="A2" s="1"/>
      <c r="G2" s="1"/>
    </row>
    <row r="3" spans="1:14" ht="23.25">
      <c r="A3" s="327" t="s">
        <v>154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</row>
    <row r="4" spans="1:14" ht="7.5" customHeight="1" thickBot="1"/>
    <row r="5" spans="1:14" s="89" customFormat="1" ht="20.25" customHeight="1">
      <c r="A5" s="339" t="s">
        <v>98</v>
      </c>
      <c r="B5" s="321" t="s">
        <v>2</v>
      </c>
      <c r="C5" s="323" t="s">
        <v>3</v>
      </c>
      <c r="D5" s="341" t="s">
        <v>103</v>
      </c>
      <c r="E5" s="317" t="s">
        <v>155</v>
      </c>
      <c r="F5" s="343"/>
      <c r="G5" s="339" t="s">
        <v>98</v>
      </c>
      <c r="H5" s="321" t="s">
        <v>2</v>
      </c>
      <c r="I5" s="323" t="s">
        <v>3</v>
      </c>
      <c r="J5" s="341" t="s">
        <v>103</v>
      </c>
      <c r="K5" s="317" t="s">
        <v>155</v>
      </c>
    </row>
    <row r="6" spans="1:14" s="89" customFormat="1" ht="18.75" customHeight="1" thickBot="1">
      <c r="A6" s="340"/>
      <c r="B6" s="322"/>
      <c r="C6" s="324"/>
      <c r="D6" s="342"/>
      <c r="E6" s="318"/>
      <c r="F6" s="344"/>
      <c r="G6" s="340"/>
      <c r="H6" s="322"/>
      <c r="I6" s="324"/>
      <c r="J6" s="342"/>
      <c r="K6" s="318"/>
    </row>
    <row r="7" spans="1:14" s="2" customFormat="1" ht="21.95" customHeight="1">
      <c r="A7" s="333">
        <v>1</v>
      </c>
      <c r="B7" s="118" t="s">
        <v>28</v>
      </c>
      <c r="C7" s="91" t="s">
        <v>17</v>
      </c>
      <c r="D7" s="91">
        <v>40.69</v>
      </c>
      <c r="E7" s="336">
        <f t="shared" ref="E7" si="0">AVERAGE(D7:D9)</f>
        <v>40.826666666666661</v>
      </c>
      <c r="F7" s="344"/>
      <c r="G7" s="333">
        <v>15</v>
      </c>
      <c r="H7" s="118" t="s">
        <v>33</v>
      </c>
      <c r="I7" s="91" t="s">
        <v>20</v>
      </c>
      <c r="J7" s="123">
        <v>41.2</v>
      </c>
      <c r="K7" s="336">
        <f t="shared" ref="K7" si="1">AVERAGE(J7:J9)</f>
        <v>41.526666666666664</v>
      </c>
      <c r="M7" s="226" t="s">
        <v>157</v>
      </c>
    </row>
    <row r="8" spans="1:14" s="2" customFormat="1" ht="21.95" customHeight="1">
      <c r="A8" s="334"/>
      <c r="B8" s="95" t="s">
        <v>21</v>
      </c>
      <c r="C8" s="96" t="s">
        <v>22</v>
      </c>
      <c r="D8" s="96">
        <v>40.89</v>
      </c>
      <c r="E8" s="337"/>
      <c r="F8" s="344"/>
      <c r="G8" s="334"/>
      <c r="H8" s="95" t="s">
        <v>102</v>
      </c>
      <c r="I8" s="96" t="s">
        <v>22</v>
      </c>
      <c r="J8" s="96">
        <v>41.37</v>
      </c>
      <c r="K8" s="337"/>
    </row>
    <row r="9" spans="1:14" s="2" customFormat="1" ht="21.95" customHeight="1" thickBot="1">
      <c r="A9" s="335"/>
      <c r="B9" s="119" t="s">
        <v>102</v>
      </c>
      <c r="C9" s="120" t="s">
        <v>22</v>
      </c>
      <c r="D9" s="125">
        <v>40.9</v>
      </c>
      <c r="E9" s="338"/>
      <c r="F9" s="344"/>
      <c r="G9" s="335"/>
      <c r="H9" s="233" t="s">
        <v>32</v>
      </c>
      <c r="I9" s="120" t="s">
        <v>156</v>
      </c>
      <c r="J9" s="120">
        <v>42.01</v>
      </c>
      <c r="K9" s="338"/>
      <c r="M9" s="229" t="s">
        <v>158</v>
      </c>
    </row>
    <row r="10" spans="1:14" s="2" customFormat="1" ht="21.95" customHeight="1">
      <c r="A10" s="334">
        <v>13</v>
      </c>
      <c r="B10" s="95" t="s">
        <v>21</v>
      </c>
      <c r="C10" s="96" t="s">
        <v>22</v>
      </c>
      <c r="D10" s="96">
        <v>40.83</v>
      </c>
      <c r="E10" s="337">
        <f t="shared" ref="E10" si="2">AVERAGE(D10:D12)</f>
        <v>40.86333333333333</v>
      </c>
      <c r="F10" s="344"/>
      <c r="G10" s="334">
        <v>5</v>
      </c>
      <c r="H10" s="228" t="s">
        <v>31</v>
      </c>
      <c r="I10" s="98" t="s">
        <v>156</v>
      </c>
      <c r="J10" s="98">
        <v>41.31</v>
      </c>
      <c r="K10" s="337">
        <f t="shared" ref="K10" si="3">AVERAGE(J10:J12)</f>
        <v>41.563333333333333</v>
      </c>
      <c r="M10" s="226" t="s">
        <v>159</v>
      </c>
    </row>
    <row r="11" spans="1:14" s="2" customFormat="1" ht="21.95" customHeight="1">
      <c r="A11" s="334"/>
      <c r="B11" s="95" t="s">
        <v>102</v>
      </c>
      <c r="C11" s="96" t="s">
        <v>22</v>
      </c>
      <c r="D11" s="96">
        <v>40.869999999999997</v>
      </c>
      <c r="E11" s="337"/>
      <c r="F11" s="344"/>
      <c r="G11" s="334"/>
      <c r="H11" s="95" t="s">
        <v>40</v>
      </c>
      <c r="I11" s="96" t="s">
        <v>101</v>
      </c>
      <c r="J11" s="96">
        <v>41.53</v>
      </c>
      <c r="K11" s="337"/>
    </row>
    <row r="12" spans="1:14" s="2" customFormat="1" ht="21.95" customHeight="1" thickBot="1">
      <c r="A12" s="334"/>
      <c r="B12" s="232" t="s">
        <v>34</v>
      </c>
      <c r="C12" s="227" t="s">
        <v>20</v>
      </c>
      <c r="D12" s="227">
        <v>40.89</v>
      </c>
      <c r="E12" s="337"/>
      <c r="F12" s="344"/>
      <c r="G12" s="334"/>
      <c r="H12" s="232" t="s">
        <v>32</v>
      </c>
      <c r="I12" s="227" t="s">
        <v>156</v>
      </c>
      <c r="J12" s="227">
        <v>41.85</v>
      </c>
      <c r="K12" s="337"/>
      <c r="M12" s="226" t="s">
        <v>194</v>
      </c>
    </row>
    <row r="13" spans="1:14" s="2" customFormat="1" ht="21.95" customHeight="1">
      <c r="A13" s="333">
        <v>21</v>
      </c>
      <c r="B13" s="118" t="s">
        <v>28</v>
      </c>
      <c r="C13" s="91" t="s">
        <v>17</v>
      </c>
      <c r="D13" s="91">
        <v>40.94</v>
      </c>
      <c r="E13" s="336">
        <f>AVERAGE(D13:D15)</f>
        <v>41.073333333333331</v>
      </c>
      <c r="F13" s="344"/>
      <c r="G13" s="333">
        <v>11</v>
      </c>
      <c r="H13" s="118" t="s">
        <v>37</v>
      </c>
      <c r="I13" s="91" t="s">
        <v>96</v>
      </c>
      <c r="J13" s="91">
        <v>41.32</v>
      </c>
      <c r="K13" s="336">
        <f>AVERAGE(J13:J15)</f>
        <v>41.623333333333335</v>
      </c>
      <c r="M13" s="226" t="s">
        <v>160</v>
      </c>
    </row>
    <row r="14" spans="1:14" s="2" customFormat="1" ht="21.95" customHeight="1">
      <c r="A14" s="334"/>
      <c r="B14" s="95" t="s">
        <v>34</v>
      </c>
      <c r="C14" s="96" t="s">
        <v>20</v>
      </c>
      <c r="D14" s="96">
        <v>41.06</v>
      </c>
      <c r="E14" s="337"/>
      <c r="F14" s="344"/>
      <c r="G14" s="334"/>
      <c r="H14" s="95" t="s">
        <v>33</v>
      </c>
      <c r="I14" s="96" t="s">
        <v>20</v>
      </c>
      <c r="J14" s="96">
        <v>41.53</v>
      </c>
      <c r="K14" s="337"/>
      <c r="M14" s="226" t="s">
        <v>161</v>
      </c>
    </row>
    <row r="15" spans="1:14" s="2" customFormat="1" ht="21.95" customHeight="1" thickBot="1">
      <c r="A15" s="335"/>
      <c r="B15" s="119" t="s">
        <v>37</v>
      </c>
      <c r="C15" s="120" t="s">
        <v>96</v>
      </c>
      <c r="D15" s="120">
        <v>41.22</v>
      </c>
      <c r="E15" s="338"/>
      <c r="F15" s="344"/>
      <c r="G15" s="335"/>
      <c r="H15" s="119" t="s">
        <v>32</v>
      </c>
      <c r="I15" s="120" t="s">
        <v>156</v>
      </c>
      <c r="J15" s="120">
        <v>42.02</v>
      </c>
      <c r="K15" s="338"/>
      <c r="M15" s="226" t="s">
        <v>162</v>
      </c>
    </row>
    <row r="16" spans="1:14" s="2" customFormat="1" ht="21.95" customHeight="1">
      <c r="A16" s="334">
        <v>2</v>
      </c>
      <c r="B16" s="95" t="s">
        <v>28</v>
      </c>
      <c r="C16" s="96" t="s">
        <v>17</v>
      </c>
      <c r="D16" s="96">
        <v>40.79</v>
      </c>
      <c r="E16" s="337">
        <f t="shared" ref="E16" si="4">AVERAGE(D16:D18)</f>
        <v>41.09</v>
      </c>
      <c r="F16" s="344"/>
      <c r="G16" s="333">
        <v>10</v>
      </c>
      <c r="H16" s="234" t="s">
        <v>30</v>
      </c>
      <c r="I16" s="91" t="s">
        <v>18</v>
      </c>
      <c r="J16" s="91">
        <v>41.59</v>
      </c>
      <c r="K16" s="336">
        <f>AVERAGE(J16:J18)</f>
        <v>41.673333333333339</v>
      </c>
      <c r="M16" s="226"/>
      <c r="N16"/>
    </row>
    <row r="17" spans="1:14" s="2" customFormat="1" ht="21.95" customHeight="1">
      <c r="A17" s="334"/>
      <c r="B17" s="95" t="s">
        <v>39</v>
      </c>
      <c r="C17" s="96" t="s">
        <v>101</v>
      </c>
      <c r="D17" s="124">
        <v>41.2</v>
      </c>
      <c r="E17" s="337"/>
      <c r="F17" s="344"/>
      <c r="G17" s="334"/>
      <c r="H17" s="95" t="s">
        <v>102</v>
      </c>
      <c r="I17" s="96" t="s">
        <v>22</v>
      </c>
      <c r="J17" s="96">
        <v>41.67</v>
      </c>
      <c r="K17" s="337"/>
      <c r="M17" s="226"/>
      <c r="N17"/>
    </row>
    <row r="18" spans="1:14" s="2" customFormat="1" ht="21.95" customHeight="1" thickBot="1">
      <c r="A18" s="334"/>
      <c r="B18" s="232" t="s">
        <v>36</v>
      </c>
      <c r="C18" s="227" t="s">
        <v>96</v>
      </c>
      <c r="D18" s="227">
        <v>41.28</v>
      </c>
      <c r="E18" s="337"/>
      <c r="F18" s="344"/>
      <c r="G18" s="335"/>
      <c r="H18" s="119" t="s">
        <v>39</v>
      </c>
      <c r="I18" s="120" t="s">
        <v>101</v>
      </c>
      <c r="J18" s="120">
        <v>41.76</v>
      </c>
      <c r="K18" s="338"/>
      <c r="M18" s="226"/>
      <c r="N18"/>
    </row>
    <row r="19" spans="1:14" s="2" customFormat="1" ht="21.95" customHeight="1">
      <c r="A19" s="333">
        <v>9</v>
      </c>
      <c r="B19" s="118" t="s">
        <v>27</v>
      </c>
      <c r="C19" s="91" t="s">
        <v>17</v>
      </c>
      <c r="D19" s="91">
        <v>41.06</v>
      </c>
      <c r="E19" s="336">
        <f>AVERAGE(D19:D21)</f>
        <v>41.093333333333334</v>
      </c>
      <c r="F19" s="344"/>
      <c r="G19" s="333">
        <v>14</v>
      </c>
      <c r="H19" s="118" t="s">
        <v>39</v>
      </c>
      <c r="I19" s="91" t="s">
        <v>101</v>
      </c>
      <c r="J19" s="91">
        <v>41.48</v>
      </c>
      <c r="K19" s="336">
        <f>AVERAGE(J19:J21)</f>
        <v>41.693333333333335</v>
      </c>
      <c r="M19" s="229"/>
      <c r="N19"/>
    </row>
    <row r="20" spans="1:14" s="2" customFormat="1" ht="21.95" customHeight="1">
      <c r="A20" s="334"/>
      <c r="B20" s="228" t="s">
        <v>37</v>
      </c>
      <c r="C20" s="98" t="s">
        <v>96</v>
      </c>
      <c r="D20" s="98">
        <v>41.11</v>
      </c>
      <c r="E20" s="337"/>
      <c r="F20" s="344"/>
      <c r="G20" s="334"/>
      <c r="H20" s="95" t="s">
        <v>31</v>
      </c>
      <c r="I20" s="96" t="s">
        <v>156</v>
      </c>
      <c r="J20" s="96">
        <v>41.61</v>
      </c>
      <c r="K20" s="337"/>
      <c r="M20" s="229"/>
      <c r="N20"/>
    </row>
    <row r="21" spans="1:14" s="2" customFormat="1" ht="21.95" customHeight="1" thickBot="1">
      <c r="A21" s="335"/>
      <c r="B21" s="119" t="s">
        <v>39</v>
      </c>
      <c r="C21" s="120" t="s">
        <v>101</v>
      </c>
      <c r="D21" s="120">
        <v>41.11</v>
      </c>
      <c r="E21" s="338"/>
      <c r="F21" s="344"/>
      <c r="G21" s="335"/>
      <c r="H21" s="119" t="s">
        <v>31</v>
      </c>
      <c r="I21" s="120" t="s">
        <v>156</v>
      </c>
      <c r="J21" s="120">
        <v>41.99</v>
      </c>
      <c r="K21" s="338"/>
      <c r="M21" s="230"/>
      <c r="N21"/>
    </row>
    <row r="22" spans="1:14" s="2" customFormat="1" ht="21.95" customHeight="1">
      <c r="A22" s="333">
        <v>3</v>
      </c>
      <c r="B22" s="118" t="s">
        <v>102</v>
      </c>
      <c r="C22" s="91" t="s">
        <v>22</v>
      </c>
      <c r="D22" s="91">
        <v>41.04</v>
      </c>
      <c r="E22" s="336">
        <f t="shared" ref="E22" si="5">AVERAGE(D22:D24)</f>
        <v>41.113333333333337</v>
      </c>
      <c r="F22" s="345"/>
      <c r="G22" s="333">
        <v>4</v>
      </c>
      <c r="H22" s="95" t="s">
        <v>28</v>
      </c>
      <c r="I22" s="96" t="s">
        <v>17</v>
      </c>
      <c r="J22" s="96">
        <v>41.51</v>
      </c>
      <c r="K22" s="336">
        <f t="shared" ref="K22" si="6">AVERAGE(J22:J24)</f>
        <v>41.776666666666671</v>
      </c>
      <c r="M22" s="229"/>
      <c r="N22"/>
    </row>
    <row r="23" spans="1:14" s="2" customFormat="1" ht="21.95" customHeight="1">
      <c r="A23" s="334"/>
      <c r="B23" s="95" t="s">
        <v>29</v>
      </c>
      <c r="C23" s="96" t="s">
        <v>18</v>
      </c>
      <c r="D23" s="96">
        <v>41.04</v>
      </c>
      <c r="E23" s="337"/>
      <c r="F23" s="345"/>
      <c r="G23" s="334"/>
      <c r="H23" s="95" t="s">
        <v>31</v>
      </c>
      <c r="I23" s="96" t="s">
        <v>156</v>
      </c>
      <c r="J23" s="96">
        <v>41.89</v>
      </c>
      <c r="K23" s="337"/>
      <c r="M23" s="229"/>
      <c r="N23"/>
    </row>
    <row r="24" spans="1:14" s="2" customFormat="1" ht="21.95" customHeight="1" thickBot="1">
      <c r="A24" s="335"/>
      <c r="B24" s="119" t="s">
        <v>29</v>
      </c>
      <c r="C24" s="120" t="s">
        <v>18</v>
      </c>
      <c r="D24" s="120">
        <v>41.26</v>
      </c>
      <c r="E24" s="338"/>
      <c r="F24" s="345"/>
      <c r="G24" s="335"/>
      <c r="H24" s="408" t="s">
        <v>30</v>
      </c>
      <c r="I24" s="409" t="s">
        <v>18</v>
      </c>
      <c r="J24" s="409">
        <v>41.93</v>
      </c>
      <c r="K24" s="338"/>
      <c r="M24" s="229"/>
      <c r="N24"/>
    </row>
    <row r="25" spans="1:14" s="2" customFormat="1" ht="21.95" customHeight="1">
      <c r="A25" s="333">
        <v>6</v>
      </c>
      <c r="B25" s="118" t="s">
        <v>34</v>
      </c>
      <c r="C25" s="91" t="s">
        <v>20</v>
      </c>
      <c r="D25" s="91">
        <v>40.880000000000003</v>
      </c>
      <c r="E25" s="336">
        <f>AVERAGE(D25:D27)</f>
        <v>41.120000000000005</v>
      </c>
      <c r="F25" s="231"/>
      <c r="G25"/>
      <c r="H25"/>
      <c r="I25" s="1"/>
      <c r="J25" s="1"/>
      <c r="K25" s="1"/>
      <c r="M25" s="229"/>
      <c r="N25"/>
    </row>
    <row r="26" spans="1:14" s="2" customFormat="1" ht="21.95" customHeight="1">
      <c r="A26" s="334"/>
      <c r="B26" s="95" t="s">
        <v>29</v>
      </c>
      <c r="C26" s="96" t="s">
        <v>18</v>
      </c>
      <c r="D26" s="96">
        <v>41.24</v>
      </c>
      <c r="E26" s="337"/>
      <c r="F26"/>
      <c r="G26"/>
      <c r="H26"/>
      <c r="I26" s="1"/>
      <c r="J26" s="1"/>
      <c r="K26" s="1"/>
      <c r="M26" s="229"/>
      <c r="N26"/>
    </row>
    <row r="27" spans="1:14" s="2" customFormat="1" ht="21.95" customHeight="1" thickBot="1">
      <c r="A27" s="335"/>
      <c r="B27" s="119" t="s">
        <v>21</v>
      </c>
      <c r="C27" s="120" t="s">
        <v>22</v>
      </c>
      <c r="D27" s="120">
        <v>41.24</v>
      </c>
      <c r="E27" s="338"/>
      <c r="F27"/>
      <c r="G27"/>
      <c r="H27"/>
      <c r="I27" s="1"/>
      <c r="J27" s="1"/>
      <c r="K27" s="1"/>
      <c r="M27" s="229"/>
      <c r="N27"/>
    </row>
    <row r="28" spans="1:14" ht="9" customHeight="1"/>
    <row r="33" ht="10.5" customHeight="1"/>
    <row r="34" ht="16.5" customHeight="1"/>
  </sheetData>
  <mergeCells count="39">
    <mergeCell ref="A1:K1"/>
    <mergeCell ref="A3:K3"/>
    <mergeCell ref="A5:A6"/>
    <mergeCell ref="B5:B6"/>
    <mergeCell ref="C5:C6"/>
    <mergeCell ref="D5:D6"/>
    <mergeCell ref="E5:E6"/>
    <mergeCell ref="F5:F24"/>
    <mergeCell ref="G5:G6"/>
    <mergeCell ref="H5:H6"/>
    <mergeCell ref="I5:I6"/>
    <mergeCell ref="J5:J6"/>
    <mergeCell ref="K5:K6"/>
    <mergeCell ref="A7:A9"/>
    <mergeCell ref="E7:E9"/>
    <mergeCell ref="G7:G9"/>
    <mergeCell ref="K7:K9"/>
    <mergeCell ref="A10:A12"/>
    <mergeCell ref="E10:E12"/>
    <mergeCell ref="G22:G24"/>
    <mergeCell ref="K22:K24"/>
    <mergeCell ref="K10:K12"/>
    <mergeCell ref="K19:K21"/>
    <mergeCell ref="A16:A18"/>
    <mergeCell ref="E16:E18"/>
    <mergeCell ref="G13:G15"/>
    <mergeCell ref="K13:K15"/>
    <mergeCell ref="A19:A21"/>
    <mergeCell ref="E19:E21"/>
    <mergeCell ref="G16:G18"/>
    <mergeCell ref="K16:K18"/>
    <mergeCell ref="A22:A24"/>
    <mergeCell ref="E22:E24"/>
    <mergeCell ref="A25:A27"/>
    <mergeCell ref="E25:E27"/>
    <mergeCell ref="G19:G21"/>
    <mergeCell ref="A13:A15"/>
    <mergeCell ref="E13:E15"/>
    <mergeCell ref="G10:G12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W62"/>
  <sheetViews>
    <sheetView zoomScale="85" zoomScaleNormal="85" workbookViewId="0">
      <selection activeCell="Q13" sqref="Q13:Q14"/>
    </sheetView>
  </sheetViews>
  <sheetFormatPr defaultRowHeight="15.75"/>
  <cols>
    <col min="1" max="2" width="9.140625" style="235"/>
    <col min="3" max="3" width="4.42578125" customWidth="1"/>
    <col min="5" max="5" width="9" customWidth="1"/>
    <col min="6" max="6" width="9" style="1" customWidth="1"/>
    <col min="8" max="8" width="9.140625" customWidth="1"/>
    <col min="11" max="11" width="9.5703125" customWidth="1"/>
    <col min="14" max="14" width="7.85546875" customWidth="1"/>
    <col min="15" max="15" width="19.140625" customWidth="1"/>
    <col min="17" max="17" width="9.140625" customWidth="1"/>
    <col min="19" max="19" width="3.85546875" customWidth="1"/>
    <col min="20" max="20" width="6" customWidth="1"/>
    <col min="21" max="21" width="15.7109375" customWidth="1"/>
    <col min="22" max="22" width="10.7109375" style="1" customWidth="1"/>
    <col min="23" max="23" width="9.85546875" style="1" customWidth="1"/>
  </cols>
  <sheetData>
    <row r="1" spans="1:18" ht="18" customHeight="1">
      <c r="A1" s="308" t="s">
        <v>171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</row>
    <row r="2" spans="1:18" ht="3.75" customHeight="1" thickBot="1"/>
    <row r="3" spans="1:18" ht="15.75" customHeight="1" thickBot="1">
      <c r="A3" s="359" t="s">
        <v>164</v>
      </c>
      <c r="B3" s="361"/>
      <c r="D3" s="359" t="s">
        <v>22</v>
      </c>
      <c r="E3" s="360"/>
      <c r="F3" s="361"/>
      <c r="G3" s="359" t="s">
        <v>125</v>
      </c>
      <c r="H3" s="360"/>
      <c r="I3" s="361"/>
      <c r="J3" s="384" t="s">
        <v>18</v>
      </c>
      <c r="K3" s="360"/>
      <c r="L3" s="361"/>
      <c r="N3" s="383" t="s">
        <v>163</v>
      </c>
      <c r="O3" s="383"/>
      <c r="P3" s="383"/>
      <c r="Q3" s="383"/>
    </row>
    <row r="4" spans="1:18" s="2" customFormat="1" ht="18" customHeight="1" thickBot="1">
      <c r="A4" s="236" t="s">
        <v>98</v>
      </c>
      <c r="B4" s="237" t="s">
        <v>71</v>
      </c>
      <c r="D4" s="238" t="s">
        <v>166</v>
      </c>
      <c r="E4" s="239" t="s">
        <v>167</v>
      </c>
      <c r="F4" s="240" t="s">
        <v>168</v>
      </c>
      <c r="G4" s="238" t="s">
        <v>166</v>
      </c>
      <c r="H4" s="239" t="s">
        <v>167</v>
      </c>
      <c r="I4" s="240" t="s">
        <v>168</v>
      </c>
      <c r="J4" s="241" t="s">
        <v>166</v>
      </c>
      <c r="K4" s="239" t="s">
        <v>167</v>
      </c>
      <c r="L4" s="240" t="s">
        <v>168</v>
      </c>
      <c r="N4" s="365" t="s">
        <v>66</v>
      </c>
      <c r="O4" s="368" t="s">
        <v>3</v>
      </c>
      <c r="P4" s="350" t="s">
        <v>165</v>
      </c>
      <c r="Q4" s="351"/>
    </row>
    <row r="5" spans="1:18" ht="15" customHeight="1">
      <c r="A5" s="242">
        <v>1</v>
      </c>
      <c r="B5" s="243">
        <v>40.83</v>
      </c>
      <c r="D5" s="412">
        <v>13</v>
      </c>
      <c r="E5" s="211">
        <v>37</v>
      </c>
      <c r="F5" s="244">
        <f>(VLOOKUP(D5,$A$5:$B$17,2)-$B$5)*E5</f>
        <v>1.1100000000000421</v>
      </c>
      <c r="G5" s="15">
        <v>11</v>
      </c>
      <c r="H5" s="74">
        <v>20</v>
      </c>
      <c r="I5" s="244">
        <f>(VLOOKUP(G5,$A$5:$B$17,2)-$B$5)*H5</f>
        <v>15.799999999999983</v>
      </c>
      <c r="J5" s="212">
        <v>3</v>
      </c>
      <c r="K5" s="211">
        <v>41</v>
      </c>
      <c r="L5" s="244">
        <f>(VLOOKUP(J5,$A$5:$B$17,2)-$B$5)*K5</f>
        <v>11.480000000000047</v>
      </c>
      <c r="N5" s="366"/>
      <c r="O5" s="369"/>
      <c r="P5" s="352"/>
      <c r="Q5" s="353"/>
    </row>
    <row r="6" spans="1:18" ht="15" customHeight="1" thickBot="1">
      <c r="A6" s="245">
        <v>2</v>
      </c>
      <c r="B6" s="246">
        <v>41.09</v>
      </c>
      <c r="D6" s="414">
        <v>1</v>
      </c>
      <c r="E6" s="3">
        <v>22</v>
      </c>
      <c r="F6" s="248">
        <f t="shared" ref="F6:F12" si="0">(VLOOKUP(D6,$A$5:$B$17,2)-$B$5)*E6</f>
        <v>0</v>
      </c>
      <c r="G6" s="3">
        <v>4</v>
      </c>
      <c r="H6" s="3">
        <v>24</v>
      </c>
      <c r="I6" s="263">
        <f t="shared" ref="I6:I12" si="1">(VLOOKUP(G6,$A$5:$B$17,2)-$B$5)*H6</f>
        <v>22.800000000000068</v>
      </c>
      <c r="J6" s="72">
        <v>10</v>
      </c>
      <c r="K6" s="3">
        <v>25</v>
      </c>
      <c r="L6" s="249">
        <f t="shared" ref="L6:L12" si="2">(VLOOKUP(J6,$A$5:$B$17,2)-$B$5)*K6</f>
        <v>21.000000000000085</v>
      </c>
      <c r="N6" s="367"/>
      <c r="O6" s="370"/>
      <c r="P6" s="266" t="s">
        <v>71</v>
      </c>
      <c r="Q6" s="267" t="s">
        <v>72</v>
      </c>
    </row>
    <row r="7" spans="1:18" ht="15" customHeight="1">
      <c r="A7" s="245">
        <v>3</v>
      </c>
      <c r="B7" s="246">
        <v>41.11</v>
      </c>
      <c r="D7" s="247">
        <v>13</v>
      </c>
      <c r="E7" s="3">
        <v>41</v>
      </c>
      <c r="F7" s="249">
        <f t="shared" si="0"/>
        <v>1.2300000000000466</v>
      </c>
      <c r="G7" s="3">
        <v>21</v>
      </c>
      <c r="H7" s="3">
        <v>59</v>
      </c>
      <c r="I7" s="249">
        <f t="shared" si="1"/>
        <v>14.160000000000117</v>
      </c>
      <c r="J7" s="72">
        <v>3</v>
      </c>
      <c r="K7" s="264">
        <v>30</v>
      </c>
      <c r="L7" s="249">
        <f t="shared" si="2"/>
        <v>8.4000000000000341</v>
      </c>
      <c r="N7" s="375">
        <v>1</v>
      </c>
      <c r="O7" s="376" t="s">
        <v>22</v>
      </c>
      <c r="P7" s="363">
        <f>F13-F13</f>
        <v>0</v>
      </c>
      <c r="Q7" s="364">
        <v>0</v>
      </c>
    </row>
    <row r="8" spans="1:18" ht="15" customHeight="1">
      <c r="A8" s="245">
        <v>4</v>
      </c>
      <c r="B8" s="246">
        <v>41.78</v>
      </c>
      <c r="D8" s="411">
        <v>3</v>
      </c>
      <c r="E8" s="3">
        <v>36</v>
      </c>
      <c r="F8" s="248">
        <f t="shared" si="0"/>
        <v>10.080000000000041</v>
      </c>
      <c r="G8" s="72">
        <v>13</v>
      </c>
      <c r="H8" s="3">
        <v>54</v>
      </c>
      <c r="I8" s="248">
        <f t="shared" si="1"/>
        <v>1.6200000000000614</v>
      </c>
      <c r="J8" s="72">
        <v>6</v>
      </c>
      <c r="K8" s="264">
        <v>68</v>
      </c>
      <c r="L8" s="248">
        <f t="shared" si="2"/>
        <v>19.719999999999942</v>
      </c>
      <c r="N8" s="372"/>
      <c r="O8" s="374"/>
      <c r="P8" s="347"/>
      <c r="Q8" s="349"/>
    </row>
    <row r="9" spans="1:18" ht="15" customHeight="1">
      <c r="A9" s="245">
        <v>5</v>
      </c>
      <c r="B9" s="246">
        <v>41.56</v>
      </c>
      <c r="D9" s="411">
        <v>1</v>
      </c>
      <c r="E9" s="3">
        <v>60</v>
      </c>
      <c r="F9" s="248">
        <f t="shared" si="0"/>
        <v>0</v>
      </c>
      <c r="G9" s="3">
        <v>3</v>
      </c>
      <c r="H9" s="3">
        <v>30</v>
      </c>
      <c r="I9" s="249">
        <f t="shared" si="1"/>
        <v>8.4000000000000341</v>
      </c>
      <c r="J9" s="72">
        <v>9</v>
      </c>
      <c r="K9" s="264">
        <v>68</v>
      </c>
      <c r="L9" s="249">
        <f t="shared" si="2"/>
        <v>17.680000000000348</v>
      </c>
      <c r="N9" s="372">
        <v>3</v>
      </c>
      <c r="O9" s="374" t="s">
        <v>125</v>
      </c>
      <c r="P9" s="346">
        <f>I13-F13</f>
        <v>15.330000000000581</v>
      </c>
      <c r="Q9" s="362">
        <f t="shared" ref="Q9" si="3">P9/$B$18</f>
        <v>0.37110349707647294</v>
      </c>
    </row>
    <row r="10" spans="1:18" ht="15" customHeight="1">
      <c r="A10" s="245">
        <v>6</v>
      </c>
      <c r="B10" s="246">
        <v>41.12</v>
      </c>
      <c r="D10" s="411">
        <v>15</v>
      </c>
      <c r="E10" s="3">
        <v>48</v>
      </c>
      <c r="F10" s="263">
        <f t="shared" si="0"/>
        <v>33.600000000000136</v>
      </c>
      <c r="G10" s="72">
        <v>2</v>
      </c>
      <c r="H10" s="3">
        <v>65</v>
      </c>
      <c r="I10" s="248">
        <f t="shared" si="1"/>
        <v>16.900000000000333</v>
      </c>
      <c r="J10" s="72">
        <v>4</v>
      </c>
      <c r="K10" s="264">
        <v>24</v>
      </c>
      <c r="L10" s="263">
        <f t="shared" si="2"/>
        <v>22.800000000000068</v>
      </c>
      <c r="N10" s="372"/>
      <c r="O10" s="374"/>
      <c r="P10" s="347"/>
      <c r="Q10" s="349"/>
    </row>
    <row r="11" spans="1:18" ht="15" customHeight="1">
      <c r="A11" s="245">
        <v>9</v>
      </c>
      <c r="B11" s="250">
        <v>41.09</v>
      </c>
      <c r="D11" s="411">
        <v>6</v>
      </c>
      <c r="E11" s="3">
        <v>64</v>
      </c>
      <c r="F11" s="248">
        <f t="shared" si="0"/>
        <v>18.559999999999945</v>
      </c>
      <c r="G11" s="72">
        <v>9</v>
      </c>
      <c r="H11" s="3">
        <v>57</v>
      </c>
      <c r="I11" s="248">
        <f t="shared" si="1"/>
        <v>14.820000000000292</v>
      </c>
      <c r="J11" s="72">
        <v>3</v>
      </c>
      <c r="K11" s="264">
        <v>22</v>
      </c>
      <c r="L11" s="248">
        <f t="shared" si="2"/>
        <v>6.160000000000025</v>
      </c>
      <c r="N11" s="372">
        <v>2</v>
      </c>
      <c r="O11" s="373" t="s">
        <v>17</v>
      </c>
      <c r="P11" s="346">
        <f>I25-F13</f>
        <v>16.680000000000689</v>
      </c>
      <c r="Q11" s="362">
        <f>P11/$B$18</f>
        <v>0.40378384417714219</v>
      </c>
    </row>
    <row r="12" spans="1:18" ht="16.5" thickBot="1">
      <c r="A12" s="245">
        <v>10</v>
      </c>
      <c r="B12" s="246">
        <v>41.67</v>
      </c>
      <c r="D12" s="415">
        <v>10</v>
      </c>
      <c r="E12" s="3">
        <v>26</v>
      </c>
      <c r="F12" s="248">
        <f t="shared" si="0"/>
        <v>21.840000000000089</v>
      </c>
      <c r="G12" s="247">
        <v>6</v>
      </c>
      <c r="H12" s="3">
        <v>25</v>
      </c>
      <c r="I12" s="248">
        <f t="shared" si="1"/>
        <v>7.2499999999999787</v>
      </c>
      <c r="J12" s="247">
        <v>1</v>
      </c>
      <c r="K12" s="3">
        <v>56</v>
      </c>
      <c r="L12" s="248">
        <f t="shared" si="2"/>
        <v>0</v>
      </c>
      <c r="N12" s="372"/>
      <c r="O12" s="374"/>
      <c r="P12" s="347"/>
      <c r="Q12" s="349"/>
    </row>
    <row r="13" spans="1:18" ht="16.5" thickBot="1">
      <c r="A13" s="245">
        <v>11</v>
      </c>
      <c r="B13" s="246">
        <v>41.62</v>
      </c>
      <c r="D13" s="357" t="s">
        <v>170</v>
      </c>
      <c r="E13" s="358"/>
      <c r="F13" s="273">
        <f>SUM(F5:F12)</f>
        <v>86.4200000000003</v>
      </c>
      <c r="G13" s="357" t="s">
        <v>170</v>
      </c>
      <c r="H13" s="358"/>
      <c r="I13" s="265">
        <f>SUM(I5:I12)</f>
        <v>101.75000000000088</v>
      </c>
      <c r="J13" s="357" t="s">
        <v>170</v>
      </c>
      <c r="K13" s="358"/>
      <c r="L13" s="265">
        <f>SUM(L5:L12)</f>
        <v>107.24000000000055</v>
      </c>
      <c r="N13" s="372">
        <v>4</v>
      </c>
      <c r="O13" s="374" t="s">
        <v>18</v>
      </c>
      <c r="P13" s="346">
        <f>L13-F13</f>
        <v>20.820000000000249</v>
      </c>
      <c r="Q13" s="362">
        <f t="shared" ref="Q13" si="4">P13/$B$18</f>
        <v>0.5040035752858425</v>
      </c>
    </row>
    <row r="14" spans="1:18" ht="16.5" thickBot="1">
      <c r="A14" s="245">
        <v>13</v>
      </c>
      <c r="B14" s="246">
        <v>40.86</v>
      </c>
      <c r="D14" s="256"/>
      <c r="E14" s="256"/>
      <c r="F14" s="256"/>
      <c r="G14" s="256"/>
      <c r="H14" s="256"/>
      <c r="I14" s="256"/>
      <c r="J14" s="256"/>
      <c r="K14" s="256"/>
      <c r="L14" s="257"/>
      <c r="M14" s="257"/>
      <c r="N14" s="372"/>
      <c r="O14" s="374"/>
      <c r="P14" s="347"/>
      <c r="Q14" s="349"/>
    </row>
    <row r="15" spans="1:18">
      <c r="A15" s="245">
        <v>14</v>
      </c>
      <c r="B15" s="246">
        <v>41.69</v>
      </c>
      <c r="D15" s="354" t="s">
        <v>20</v>
      </c>
      <c r="E15" s="355"/>
      <c r="F15" s="356"/>
      <c r="G15" s="359" t="s">
        <v>17</v>
      </c>
      <c r="H15" s="360"/>
      <c r="I15" s="361"/>
      <c r="J15" s="377" t="s">
        <v>101</v>
      </c>
      <c r="K15" s="378"/>
      <c r="L15" s="379"/>
      <c r="N15" s="372">
        <v>5</v>
      </c>
      <c r="O15" s="374" t="s">
        <v>20</v>
      </c>
      <c r="P15" s="346">
        <f>F25-F13</f>
        <v>25.360000000000298</v>
      </c>
      <c r="Q15" s="362">
        <f t="shared" ref="Q15" si="5">P15/$B$18</f>
        <v>0.61390637220215971</v>
      </c>
    </row>
    <row r="16" spans="1:18" ht="16.5" thickBot="1">
      <c r="A16" s="245">
        <v>15</v>
      </c>
      <c r="B16" s="250">
        <v>41.53</v>
      </c>
      <c r="D16" s="238" t="s">
        <v>166</v>
      </c>
      <c r="E16" s="239" t="s">
        <v>167</v>
      </c>
      <c r="F16" s="240" t="s">
        <v>168</v>
      </c>
      <c r="G16" s="238" t="s">
        <v>166</v>
      </c>
      <c r="H16" s="239" t="s">
        <v>167</v>
      </c>
      <c r="I16" s="240" t="s">
        <v>168</v>
      </c>
      <c r="J16" s="258" t="s">
        <v>166</v>
      </c>
      <c r="K16" s="259" t="s">
        <v>167</v>
      </c>
      <c r="L16" s="260" t="s">
        <v>168</v>
      </c>
      <c r="N16" s="372"/>
      <c r="O16" s="374"/>
      <c r="P16" s="347"/>
      <c r="Q16" s="349"/>
    </row>
    <row r="17" spans="1:23" ht="16.5" thickBot="1">
      <c r="A17" s="251">
        <v>21</v>
      </c>
      <c r="B17" s="252">
        <v>41.07</v>
      </c>
      <c r="D17" s="412">
        <v>6</v>
      </c>
      <c r="E17" s="74">
        <v>32</v>
      </c>
      <c r="F17" s="244">
        <f>(VLOOKUP(D17,$A$5:$B$17,2)-$B$5)*E17</f>
        <v>9.2799999999999727</v>
      </c>
      <c r="G17" s="212">
        <v>2</v>
      </c>
      <c r="H17" s="74">
        <v>21</v>
      </c>
      <c r="I17" s="244">
        <f>(VLOOKUP(G17,$A$5:$B$17,2)-$B$5)*H17</f>
        <v>5.4600000000001074</v>
      </c>
      <c r="J17" s="212">
        <v>14</v>
      </c>
      <c r="K17" s="74">
        <v>37</v>
      </c>
      <c r="L17" s="244">
        <f>(VLOOKUP(J17,$A$5:$B$17,2)-$B$5)*K17</f>
        <v>31.819999999999979</v>
      </c>
      <c r="N17" s="372">
        <v>6</v>
      </c>
      <c r="O17" s="374" t="s">
        <v>101</v>
      </c>
      <c r="P17" s="346">
        <f>L25-F13</f>
        <v>61.460000000000491</v>
      </c>
      <c r="Q17" s="362">
        <f t="shared" ref="Q17" si="6">P17/$B$18</f>
        <v>1.4878030613385091</v>
      </c>
    </row>
    <row r="18" spans="1:23" ht="16.5" thickBot="1">
      <c r="A18" s="253" t="s">
        <v>169</v>
      </c>
      <c r="B18" s="254">
        <f>AVERAGE(B5:B17)</f>
        <v>41.30923076923078</v>
      </c>
      <c r="D18" s="411">
        <v>2</v>
      </c>
      <c r="E18" s="3">
        <v>68</v>
      </c>
      <c r="F18" s="248">
        <f t="shared" ref="F18:F24" si="7">(VLOOKUP(D18,$A$5:$B$17,2)-$B$5)*E18</f>
        <v>17.680000000000348</v>
      </c>
      <c r="G18" s="3">
        <v>9</v>
      </c>
      <c r="H18" s="3">
        <v>47</v>
      </c>
      <c r="I18" s="248">
        <f t="shared" ref="I18:I24" si="8">(VLOOKUP(G18,$A$5:$B$17,2)-$B$5)*H18</f>
        <v>12.22000000000024</v>
      </c>
      <c r="J18" s="3">
        <v>6</v>
      </c>
      <c r="K18" s="3">
        <v>60</v>
      </c>
      <c r="L18" s="248">
        <f t="shared" ref="L18:L24" si="9">(VLOOKUP(J18,$A$5:$B$17,2)-$B$5)*K18</f>
        <v>17.399999999999949</v>
      </c>
      <c r="N18" s="372"/>
      <c r="O18" s="374"/>
      <c r="P18" s="347"/>
      <c r="Q18" s="349"/>
    </row>
    <row r="19" spans="1:23" ht="15.75" customHeight="1">
      <c r="D19" s="411">
        <v>11</v>
      </c>
      <c r="E19" s="264">
        <v>31</v>
      </c>
      <c r="F19" s="249">
        <f t="shared" si="7"/>
        <v>24.489999999999974</v>
      </c>
      <c r="G19" s="3">
        <v>1</v>
      </c>
      <c r="H19" s="264">
        <v>32</v>
      </c>
      <c r="I19" s="249">
        <f t="shared" si="8"/>
        <v>0</v>
      </c>
      <c r="J19" s="3">
        <v>9</v>
      </c>
      <c r="K19" s="3">
        <v>66</v>
      </c>
      <c r="L19" s="249">
        <f t="shared" si="9"/>
        <v>17.160000000000338</v>
      </c>
      <c r="N19" s="371">
        <v>7</v>
      </c>
      <c r="O19" s="373" t="s">
        <v>16</v>
      </c>
      <c r="P19" s="346">
        <f>L37-F13</f>
        <v>120.74000000000029</v>
      </c>
      <c r="Q19" s="348">
        <f t="shared" ref="Q19" si="10">P19/$B$18</f>
        <v>2.922833414025555</v>
      </c>
    </row>
    <row r="20" spans="1:23">
      <c r="D20" s="411">
        <v>21</v>
      </c>
      <c r="E20" s="264">
        <v>49</v>
      </c>
      <c r="F20" s="248">
        <f t="shared" si="7"/>
        <v>11.760000000000097</v>
      </c>
      <c r="G20" s="72">
        <v>2</v>
      </c>
      <c r="H20" s="264">
        <v>51</v>
      </c>
      <c r="I20" s="248">
        <f t="shared" si="8"/>
        <v>13.260000000000261</v>
      </c>
      <c r="J20" s="72">
        <v>5</v>
      </c>
      <c r="K20" s="3">
        <v>46</v>
      </c>
      <c r="L20" s="263">
        <f t="shared" si="9"/>
        <v>33.580000000000183</v>
      </c>
      <c r="N20" s="372"/>
      <c r="O20" s="374"/>
      <c r="P20" s="347"/>
      <c r="Q20" s="349"/>
    </row>
    <row r="21" spans="1:23">
      <c r="D21" s="413">
        <v>6</v>
      </c>
      <c r="E21" s="264">
        <v>30</v>
      </c>
      <c r="F21" s="249">
        <f t="shared" si="7"/>
        <v>8.6999999999999744</v>
      </c>
      <c r="G21" s="72">
        <v>4</v>
      </c>
      <c r="H21" s="264">
        <v>56</v>
      </c>
      <c r="I21" s="263">
        <f t="shared" si="8"/>
        <v>53.200000000000159</v>
      </c>
      <c r="J21" s="3">
        <v>21</v>
      </c>
      <c r="K21" s="3">
        <v>42</v>
      </c>
      <c r="L21" s="249">
        <f t="shared" si="9"/>
        <v>10.080000000000084</v>
      </c>
      <c r="N21" s="371">
        <v>8</v>
      </c>
      <c r="O21" s="373" t="s">
        <v>23</v>
      </c>
      <c r="P21" s="346">
        <f>I37-F13</f>
        <v>119.7800000000002</v>
      </c>
      <c r="Q21" s="348">
        <f t="shared" ref="Q21" si="11">P21/$B$18</f>
        <v>2.8995940560873006</v>
      </c>
      <c r="S21" s="1"/>
    </row>
    <row r="22" spans="1:23">
      <c r="D22" s="411">
        <v>13</v>
      </c>
      <c r="E22" s="264">
        <v>42</v>
      </c>
      <c r="F22" s="248">
        <f t="shared" si="7"/>
        <v>1.2600000000000477</v>
      </c>
      <c r="G22" s="72">
        <v>1</v>
      </c>
      <c r="H22" s="264">
        <v>48</v>
      </c>
      <c r="I22" s="248">
        <f t="shared" si="8"/>
        <v>0</v>
      </c>
      <c r="J22" s="72">
        <v>10</v>
      </c>
      <c r="K22" s="3">
        <v>28</v>
      </c>
      <c r="L22" s="248">
        <f t="shared" si="9"/>
        <v>23.520000000000095</v>
      </c>
      <c r="N22" s="372"/>
      <c r="O22" s="374"/>
      <c r="P22" s="347"/>
      <c r="Q22" s="349"/>
      <c r="S22" s="1"/>
    </row>
    <row r="23" spans="1:23">
      <c r="D23" s="411">
        <v>15</v>
      </c>
      <c r="E23" s="264">
        <v>54</v>
      </c>
      <c r="F23" s="263">
        <f t="shared" si="7"/>
        <v>37.800000000000153</v>
      </c>
      <c r="G23" s="72">
        <v>21</v>
      </c>
      <c r="H23" s="264">
        <v>53</v>
      </c>
      <c r="I23" s="248">
        <f t="shared" si="8"/>
        <v>12.720000000000105</v>
      </c>
      <c r="J23" s="72">
        <v>2</v>
      </c>
      <c r="K23" s="3">
        <v>26</v>
      </c>
      <c r="L23" s="248">
        <f t="shared" si="9"/>
        <v>6.760000000000133</v>
      </c>
      <c r="N23" s="372">
        <v>9</v>
      </c>
      <c r="O23" s="374" t="s">
        <v>19</v>
      </c>
      <c r="P23" s="380">
        <f>F37-F13</f>
        <v>156.08000000000021</v>
      </c>
      <c r="Q23" s="382">
        <f t="shared" ref="Q23" si="12">P23/$B$18</f>
        <v>3.778332278127448</v>
      </c>
      <c r="S23" s="1"/>
      <c r="T23" s="1"/>
      <c r="V23"/>
      <c r="W23"/>
    </row>
    <row r="24" spans="1:23" ht="16.5" thickBot="1">
      <c r="D24" s="247">
        <v>13</v>
      </c>
      <c r="E24" s="3">
        <v>27</v>
      </c>
      <c r="F24" s="248">
        <f t="shared" si="7"/>
        <v>0.8100000000000307</v>
      </c>
      <c r="G24" s="247">
        <v>2</v>
      </c>
      <c r="H24" s="3">
        <v>24</v>
      </c>
      <c r="I24" s="248">
        <f t="shared" si="8"/>
        <v>6.2400000000001228</v>
      </c>
      <c r="J24" s="247">
        <v>3</v>
      </c>
      <c r="K24" s="3">
        <v>27</v>
      </c>
      <c r="L24" s="248">
        <f t="shared" si="9"/>
        <v>7.5600000000000307</v>
      </c>
      <c r="N24" s="372"/>
      <c r="O24" s="374"/>
      <c r="P24" s="381"/>
      <c r="Q24" s="348"/>
      <c r="S24" s="1"/>
      <c r="T24" s="1"/>
      <c r="V24"/>
      <c r="W24"/>
    </row>
    <row r="25" spans="1:23" ht="16.5" thickBot="1">
      <c r="D25" s="357" t="s">
        <v>170</v>
      </c>
      <c r="E25" s="358"/>
      <c r="F25" s="255">
        <f>SUM(F17:F24)</f>
        <v>111.7800000000006</v>
      </c>
      <c r="G25" s="357" t="s">
        <v>170</v>
      </c>
      <c r="H25" s="358"/>
      <c r="I25" s="265">
        <f>SUM(I17:I24)</f>
        <v>103.10000000000099</v>
      </c>
      <c r="J25" s="357" t="s">
        <v>170</v>
      </c>
      <c r="K25" s="358"/>
      <c r="L25" s="265">
        <f>SUM(L17:L24)</f>
        <v>147.88000000000079</v>
      </c>
      <c r="S25" s="1"/>
      <c r="T25" s="1"/>
      <c r="V25"/>
      <c r="W25"/>
    </row>
    <row r="26" spans="1:23" ht="16.5" thickBot="1">
      <c r="S26" s="1"/>
      <c r="T26" s="1"/>
      <c r="V26"/>
      <c r="W26"/>
    </row>
    <row r="27" spans="1:23">
      <c r="D27" s="377" t="s">
        <v>19</v>
      </c>
      <c r="E27" s="378"/>
      <c r="F27" s="379"/>
      <c r="G27" s="377" t="s">
        <v>23</v>
      </c>
      <c r="H27" s="378"/>
      <c r="I27" s="379"/>
      <c r="J27" s="359" t="s">
        <v>174</v>
      </c>
      <c r="K27" s="360"/>
      <c r="L27" s="361"/>
      <c r="S27" s="1"/>
      <c r="T27" s="1"/>
      <c r="V27"/>
      <c r="W27"/>
    </row>
    <row r="28" spans="1:23" ht="16.5" thickBot="1">
      <c r="D28" s="258" t="s">
        <v>166</v>
      </c>
      <c r="E28" s="259" t="s">
        <v>167</v>
      </c>
      <c r="F28" s="260" t="s">
        <v>168</v>
      </c>
      <c r="G28" s="258" t="s">
        <v>166</v>
      </c>
      <c r="H28" s="259" t="s">
        <v>167</v>
      </c>
      <c r="I28" s="260" t="s">
        <v>168</v>
      </c>
      <c r="J28" s="238" t="s">
        <v>166</v>
      </c>
      <c r="K28" s="239" t="s">
        <v>167</v>
      </c>
      <c r="L28" s="240" t="s">
        <v>168</v>
      </c>
      <c r="S28" s="1"/>
      <c r="T28" s="1"/>
      <c r="V28"/>
      <c r="W28"/>
    </row>
    <row r="29" spans="1:23">
      <c r="D29" s="410">
        <v>5</v>
      </c>
      <c r="E29" s="74">
        <v>26</v>
      </c>
      <c r="F29" s="244">
        <f>(VLOOKUP(D29,$A$5:$B$17,2)-$B$5)*E29</f>
        <v>18.980000000000103</v>
      </c>
      <c r="G29" s="15">
        <v>21</v>
      </c>
      <c r="H29" s="74">
        <v>35</v>
      </c>
      <c r="I29" s="244">
        <f>(VLOOKUP(G29,$A$5:$B$17,2)-$B$5)*H29</f>
        <v>8.4000000000000696</v>
      </c>
      <c r="J29" s="15">
        <v>1</v>
      </c>
      <c r="K29" s="74">
        <v>30</v>
      </c>
      <c r="L29" s="244">
        <f>(VLOOKUP(J29,$A$5:$B$17,2)-$B$5)*K29</f>
        <v>0</v>
      </c>
      <c r="S29" s="1"/>
      <c r="T29" s="1"/>
      <c r="V29"/>
      <c r="W29"/>
    </row>
    <row r="30" spans="1:23">
      <c r="D30" s="247">
        <v>15</v>
      </c>
      <c r="E30" s="3">
        <v>40</v>
      </c>
      <c r="F30" s="248">
        <f t="shared" ref="F30:F36" si="13">(VLOOKUP(D30,$A$5:$B$17,2)-$B$5)*E30</f>
        <v>28.000000000000114</v>
      </c>
      <c r="G30" s="3">
        <v>5</v>
      </c>
      <c r="H30" s="3">
        <v>58</v>
      </c>
      <c r="I30" s="263">
        <f t="shared" ref="I30:I36" si="14">(VLOOKUP(G30,$A$5:$B$17,2)-$B$5)*H30</f>
        <v>42.340000000000231</v>
      </c>
      <c r="J30" s="3">
        <v>11</v>
      </c>
      <c r="K30" s="3">
        <v>23</v>
      </c>
      <c r="L30" s="248">
        <f t="shared" ref="L30:L36" si="15">(VLOOKUP(J30,$A$5:$B$17,2)-$B$5)*K30</f>
        <v>18.16999999999998</v>
      </c>
      <c r="S30" s="1"/>
      <c r="T30" s="1"/>
      <c r="V30"/>
      <c r="W30"/>
    </row>
    <row r="31" spans="1:23">
      <c r="D31" s="247">
        <v>4</v>
      </c>
      <c r="E31" s="3">
        <v>29</v>
      </c>
      <c r="F31" s="249">
        <f t="shared" si="13"/>
        <v>27.550000000000082</v>
      </c>
      <c r="G31" s="3">
        <v>10</v>
      </c>
      <c r="H31" s="3">
        <v>37</v>
      </c>
      <c r="I31" s="249">
        <f t="shared" si="14"/>
        <v>31.080000000000126</v>
      </c>
      <c r="J31" s="3">
        <v>14</v>
      </c>
      <c r="K31" s="3">
        <v>43</v>
      </c>
      <c r="L31" s="249">
        <f t="shared" si="15"/>
        <v>36.979999999999976</v>
      </c>
      <c r="S31" s="1"/>
      <c r="T31" s="1"/>
      <c r="V31"/>
      <c r="W31"/>
    </row>
    <row r="32" spans="1:23">
      <c r="D32" s="411">
        <v>5</v>
      </c>
      <c r="E32" s="264">
        <v>59</v>
      </c>
      <c r="F32" s="248">
        <f t="shared" si="13"/>
        <v>43.070000000000235</v>
      </c>
      <c r="G32" s="72">
        <v>15</v>
      </c>
      <c r="H32" s="264">
        <v>42</v>
      </c>
      <c r="I32" s="248">
        <f t="shared" si="14"/>
        <v>29.400000000000119</v>
      </c>
      <c r="J32" s="72">
        <v>4</v>
      </c>
      <c r="K32" s="264">
        <f>29+31</f>
        <v>60</v>
      </c>
      <c r="L32" s="263">
        <f t="shared" si="15"/>
        <v>57.000000000000171</v>
      </c>
      <c r="S32" s="1"/>
      <c r="T32" s="1"/>
      <c r="V32"/>
      <c r="W32"/>
    </row>
    <row r="33" spans="1:23">
      <c r="D33" s="247">
        <v>14</v>
      </c>
      <c r="E33" s="264">
        <v>52</v>
      </c>
      <c r="F33" s="249">
        <f t="shared" si="13"/>
        <v>44.71999999999997</v>
      </c>
      <c r="G33" s="3">
        <v>14</v>
      </c>
      <c r="H33" s="264">
        <v>44</v>
      </c>
      <c r="I33" s="249">
        <f t="shared" si="14"/>
        <v>37.839999999999975</v>
      </c>
      <c r="J33" s="72">
        <v>10</v>
      </c>
      <c r="K33" s="264">
        <v>29</v>
      </c>
      <c r="L33" s="249">
        <f t="shared" si="15"/>
        <v>24.360000000000099</v>
      </c>
      <c r="S33" s="1"/>
      <c r="T33" s="1"/>
      <c r="V33"/>
      <c r="W33"/>
    </row>
    <row r="34" spans="1:23">
      <c r="D34" s="411">
        <v>3</v>
      </c>
      <c r="E34" s="264">
        <v>41</v>
      </c>
      <c r="F34" s="248">
        <f t="shared" si="13"/>
        <v>11.480000000000047</v>
      </c>
      <c r="G34" s="72">
        <v>11</v>
      </c>
      <c r="H34" s="264">
        <v>36</v>
      </c>
      <c r="I34" s="248">
        <f t="shared" si="14"/>
        <v>28.439999999999969</v>
      </c>
      <c r="J34" s="72">
        <v>13</v>
      </c>
      <c r="K34" s="264">
        <v>44</v>
      </c>
      <c r="L34" s="248">
        <f t="shared" si="15"/>
        <v>1.32000000000005</v>
      </c>
      <c r="S34" s="1"/>
      <c r="T34" s="1"/>
      <c r="V34"/>
      <c r="W34"/>
    </row>
    <row r="35" spans="1:23">
      <c r="D35" s="411">
        <v>14</v>
      </c>
      <c r="E35" s="264">
        <v>56</v>
      </c>
      <c r="F35" s="263">
        <f t="shared" si="13"/>
        <v>48.159999999999968</v>
      </c>
      <c r="G35" s="72">
        <v>13</v>
      </c>
      <c r="H35" s="264">
        <v>35</v>
      </c>
      <c r="I35" s="248">
        <f t="shared" si="14"/>
        <v>1.0500000000000398</v>
      </c>
      <c r="J35" s="72">
        <v>10</v>
      </c>
      <c r="K35" s="264">
        <v>33</v>
      </c>
      <c r="L35" s="248">
        <f t="shared" si="15"/>
        <v>27.720000000000113</v>
      </c>
      <c r="S35" s="1"/>
      <c r="T35" s="1"/>
      <c r="V35"/>
      <c r="W35"/>
    </row>
    <row r="36" spans="1:23" ht="16.5" thickBot="1">
      <c r="A36" s="261"/>
      <c r="B36" s="261"/>
      <c r="D36" s="247">
        <v>11</v>
      </c>
      <c r="E36" s="3">
        <v>26</v>
      </c>
      <c r="F36" s="248">
        <f t="shared" si="13"/>
        <v>20.539999999999978</v>
      </c>
      <c r="G36" s="195">
        <v>11</v>
      </c>
      <c r="H36" s="3">
        <v>35</v>
      </c>
      <c r="I36" s="248">
        <f t="shared" si="14"/>
        <v>27.64999999999997</v>
      </c>
      <c r="J36" s="72">
        <v>5</v>
      </c>
      <c r="K36" s="3">
        <f>30+27</f>
        <v>57</v>
      </c>
      <c r="L36" s="248">
        <f t="shared" si="15"/>
        <v>41.610000000000227</v>
      </c>
      <c r="S36" s="1"/>
      <c r="T36" s="1"/>
      <c r="V36"/>
      <c r="W36"/>
    </row>
    <row r="37" spans="1:23" s="82" customFormat="1" ht="16.5" thickBot="1">
      <c r="A37" s="235"/>
      <c r="B37" s="235"/>
      <c r="D37" s="357" t="s">
        <v>170</v>
      </c>
      <c r="E37" s="358"/>
      <c r="F37" s="268">
        <f>SUM(F29:F36)</f>
        <v>242.50000000000051</v>
      </c>
      <c r="G37" s="357" t="s">
        <v>170</v>
      </c>
      <c r="H37" s="358"/>
      <c r="I37" s="268">
        <f>SUM(I29:I36)</f>
        <v>206.2000000000005</v>
      </c>
      <c r="J37" s="357" t="s">
        <v>170</v>
      </c>
      <c r="K37" s="358"/>
      <c r="L37" s="274">
        <f>SUM(L29:L36)</f>
        <v>207.16000000000059</v>
      </c>
      <c r="M37"/>
      <c r="N37"/>
      <c r="O37"/>
      <c r="P37"/>
      <c r="Q37"/>
      <c r="R37"/>
      <c r="S37" s="83"/>
      <c r="T37" s="83"/>
    </row>
    <row r="38" spans="1:23">
      <c r="A38" s="262"/>
      <c r="S38" s="1"/>
      <c r="T38" s="1"/>
      <c r="V38"/>
      <c r="W38"/>
    </row>
    <row r="39" spans="1:23">
      <c r="A39" s="262"/>
    </row>
    <row r="40" spans="1:23">
      <c r="A40" s="269" t="s">
        <v>175</v>
      </c>
    </row>
    <row r="41" spans="1:23">
      <c r="A41" s="262" t="s">
        <v>176</v>
      </c>
    </row>
    <row r="42" spans="1:23">
      <c r="A42" s="262" t="s">
        <v>177</v>
      </c>
    </row>
    <row r="43" spans="1:23" ht="6.75" customHeight="1">
      <c r="A43" s="262"/>
    </row>
    <row r="44" spans="1:23">
      <c r="A44" s="269" t="s">
        <v>178</v>
      </c>
    </row>
    <row r="45" spans="1:23">
      <c r="A45" s="262" t="s">
        <v>193</v>
      </c>
    </row>
    <row r="46" spans="1:23">
      <c r="A46" s="262"/>
    </row>
    <row r="47" spans="1:23" ht="6.75" customHeight="1">
      <c r="A47" s="262"/>
    </row>
    <row r="49" spans="1:1">
      <c r="A49" s="262"/>
    </row>
    <row r="50" spans="1:1">
      <c r="A50" s="262"/>
    </row>
    <row r="52" spans="1:1">
      <c r="A52" s="262"/>
    </row>
    <row r="53" spans="1:1">
      <c r="A53" s="262"/>
    </row>
    <row r="54" spans="1:1">
      <c r="A54" s="262"/>
    </row>
    <row r="55" spans="1:1">
      <c r="A55" s="262"/>
    </row>
    <row r="57" spans="1:1">
      <c r="A57" s="262"/>
    </row>
    <row r="58" spans="1:1">
      <c r="A58" s="262"/>
    </row>
    <row r="59" spans="1:1">
      <c r="A59" s="262"/>
    </row>
    <row r="61" spans="1:1">
      <c r="A61" s="262"/>
    </row>
    <row r="62" spans="1:1">
      <c r="A62" s="262"/>
    </row>
  </sheetData>
  <mergeCells count="60">
    <mergeCell ref="A1:R1"/>
    <mergeCell ref="N3:Q3"/>
    <mergeCell ref="A3:B3"/>
    <mergeCell ref="D3:F3"/>
    <mergeCell ref="G3:I3"/>
    <mergeCell ref="J3:L3"/>
    <mergeCell ref="D37:E37"/>
    <mergeCell ref="G37:H37"/>
    <mergeCell ref="N23:N24"/>
    <mergeCell ref="G25:H25"/>
    <mergeCell ref="O23:O24"/>
    <mergeCell ref="J27:L27"/>
    <mergeCell ref="J37:K37"/>
    <mergeCell ref="D25:E25"/>
    <mergeCell ref="P21:P22"/>
    <mergeCell ref="Q21:Q22"/>
    <mergeCell ref="J15:L15"/>
    <mergeCell ref="D27:F27"/>
    <mergeCell ref="G27:I27"/>
    <mergeCell ref="J25:K25"/>
    <mergeCell ref="P23:P24"/>
    <mergeCell ref="Q23:Q24"/>
    <mergeCell ref="N15:N16"/>
    <mergeCell ref="O15:O16"/>
    <mergeCell ref="P15:P16"/>
    <mergeCell ref="Q15:Q16"/>
    <mergeCell ref="N17:N18"/>
    <mergeCell ref="O17:O18"/>
    <mergeCell ref="P17:P18"/>
    <mergeCell ref="Q17:Q18"/>
    <mergeCell ref="O4:O6"/>
    <mergeCell ref="N21:N22"/>
    <mergeCell ref="O21:O22"/>
    <mergeCell ref="J13:K13"/>
    <mergeCell ref="N19:N20"/>
    <mergeCell ref="N13:N14"/>
    <mergeCell ref="O13:O14"/>
    <mergeCell ref="N9:N10"/>
    <mergeCell ref="O9:O10"/>
    <mergeCell ref="N7:N8"/>
    <mergeCell ref="O7:O8"/>
    <mergeCell ref="N11:N12"/>
    <mergeCell ref="O11:O12"/>
    <mergeCell ref="O19:O20"/>
    <mergeCell ref="P19:P20"/>
    <mergeCell ref="Q19:Q20"/>
    <mergeCell ref="P4:Q5"/>
    <mergeCell ref="D15:F15"/>
    <mergeCell ref="D13:E13"/>
    <mergeCell ref="G13:H13"/>
    <mergeCell ref="G15:I15"/>
    <mergeCell ref="P13:P14"/>
    <mergeCell ref="Q13:Q14"/>
    <mergeCell ref="P9:P10"/>
    <mergeCell ref="Q9:Q10"/>
    <mergeCell ref="P7:P8"/>
    <mergeCell ref="Q7:Q8"/>
    <mergeCell ref="P11:P12"/>
    <mergeCell ref="Q11:Q12"/>
    <mergeCell ref="N4:N6"/>
  </mergeCells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C10" sqref="C10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387" t="s">
        <v>128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4" ht="10.5" customHeight="1"/>
    <row r="3" spans="1:14" ht="15.75" customHeight="1" thickBot="1">
      <c r="A3" s="388" t="s">
        <v>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</row>
    <row r="4" spans="1:14" s="1" customFormat="1" ht="25.5" customHeight="1">
      <c r="A4" s="396" t="s">
        <v>6</v>
      </c>
      <c r="B4" s="398" t="s">
        <v>7</v>
      </c>
      <c r="C4" s="394" t="s">
        <v>2</v>
      </c>
      <c r="D4" s="401" t="s">
        <v>5</v>
      </c>
      <c r="E4" s="403" t="s">
        <v>103</v>
      </c>
      <c r="F4" s="403" t="s">
        <v>91</v>
      </c>
      <c r="G4" s="394" t="s">
        <v>126</v>
      </c>
      <c r="H4" s="394" t="s">
        <v>172</v>
      </c>
      <c r="I4" s="394" t="s">
        <v>92</v>
      </c>
      <c r="J4" s="290" t="s">
        <v>14</v>
      </c>
      <c r="K4" s="290"/>
      <c r="L4" s="389" t="s">
        <v>131</v>
      </c>
      <c r="M4" s="390"/>
    </row>
    <row r="5" spans="1:14" s="1" customFormat="1" ht="22.5" customHeight="1" thickBot="1">
      <c r="A5" s="397"/>
      <c r="B5" s="399"/>
      <c r="C5" s="400"/>
      <c r="D5" s="402"/>
      <c r="E5" s="404"/>
      <c r="F5" s="404"/>
      <c r="G5" s="400"/>
      <c r="H5" s="395"/>
      <c r="I5" s="400"/>
      <c r="J5" s="69" t="s">
        <v>1</v>
      </c>
      <c r="K5" s="69" t="s">
        <v>0</v>
      </c>
      <c r="L5" s="224" t="s">
        <v>132</v>
      </c>
      <c r="M5" s="193" t="s">
        <v>133</v>
      </c>
    </row>
    <row r="6" spans="1:14" s="2" customFormat="1" ht="30" customHeight="1" thickBot="1">
      <c r="A6" s="391" t="s">
        <v>22</v>
      </c>
      <c r="B6" s="70">
        <v>1</v>
      </c>
      <c r="C6" s="211" t="s">
        <v>102</v>
      </c>
      <c r="D6" s="212">
        <v>13</v>
      </c>
      <c r="E6" s="203">
        <v>40.869999999999997</v>
      </c>
      <c r="F6" s="214">
        <f>(44.04+42.14+41.24+41.25+41.23+41.08+41.86+41.43+41.2+41.1+41.12+41.35+41.49+41.05+41.19+41.4+40.87+41.1+41.03+41.18+41.44+41.03+41.07+41.11+41.24+41.09+42.29+40.99+41.23+41.67+41.4+41.37+41.49+41.78+41.48+41.81)/36</f>
        <v>41.412222222222219</v>
      </c>
      <c r="G6" s="211">
        <v>37</v>
      </c>
      <c r="H6" s="211">
        <f>G6-0</f>
        <v>37</v>
      </c>
      <c r="I6" s="215">
        <v>1.8958333333333334E-2</v>
      </c>
      <c r="J6" s="215">
        <f>I6</f>
        <v>1.8958333333333334E-2</v>
      </c>
      <c r="K6" s="216">
        <f>J6</f>
        <v>1.8958333333333334E-2</v>
      </c>
      <c r="L6" s="220">
        <f>F6-E6</f>
        <v>0.54222222222222172</v>
      </c>
      <c r="M6" s="218"/>
    </row>
    <row r="7" spans="1:14" s="2" customFormat="1" ht="30" customHeight="1" thickBot="1">
      <c r="A7" s="392"/>
      <c r="B7" s="6">
        <v>2</v>
      </c>
      <c r="C7" s="8" t="s">
        <v>102</v>
      </c>
      <c r="D7" s="68">
        <v>1</v>
      </c>
      <c r="E7" s="75">
        <v>40.9</v>
      </c>
      <c r="F7" s="62">
        <f>(42.09+41.18+41.74+41.77+41.75+42.25+41.31+41.17+41.41+41.29+41.16+41.13+41.14+40.9+41.46+41.12+41.2+40.97+40.98+41.09)/20</f>
        <v>41.355500000000013</v>
      </c>
      <c r="G7" s="3">
        <v>59</v>
      </c>
      <c r="H7" s="3">
        <f>G7-G6</f>
        <v>22</v>
      </c>
      <c r="I7" s="63">
        <v>2.974537037037037E-2</v>
      </c>
      <c r="J7" s="63">
        <f t="shared" ref="J7:J12" si="0">I7-I6</f>
        <v>1.0787037037037036E-2</v>
      </c>
      <c r="K7" s="64">
        <f>K6+J7</f>
        <v>2.974537037037037E-2</v>
      </c>
      <c r="L7" s="186">
        <f t="shared" ref="L7:L13" si="1">F7-E7</f>
        <v>0.45550000000001489</v>
      </c>
      <c r="M7" s="194"/>
    </row>
    <row r="8" spans="1:14" s="2" customFormat="1" ht="30" customHeight="1" thickBot="1">
      <c r="A8" s="392"/>
      <c r="B8" s="6">
        <v>3</v>
      </c>
      <c r="C8" s="3" t="s">
        <v>21</v>
      </c>
      <c r="D8" s="3">
        <v>13</v>
      </c>
      <c r="E8" s="203">
        <v>40.83</v>
      </c>
      <c r="F8" s="62">
        <f>(42.96+41.16+41.6+41.13+41.49+41.14+41.29+41.23+41.07+41.08+41.13+41.21+41.12+41.25+41.26+42.09+40.85+41.14+41.25+41.42+41+40.94+41.11+40.88+40.88+40.83+40.96+41.2+41.76+42.75+43.14+42.15+41.97+42.53+43.74+42.28+41.41+41.33+41.49)/39</f>
        <v>41.518461538461544</v>
      </c>
      <c r="G8" s="3">
        <v>100</v>
      </c>
      <c r="H8" s="3">
        <f t="shared" ref="H8:H12" si="2">G8-G7</f>
        <v>41</v>
      </c>
      <c r="I8" s="63">
        <v>5.033564814814815E-2</v>
      </c>
      <c r="J8" s="63">
        <f t="shared" si="0"/>
        <v>2.059027777777778E-2</v>
      </c>
      <c r="K8" s="64">
        <f>J8</f>
        <v>2.059027777777778E-2</v>
      </c>
      <c r="L8" s="187">
        <f t="shared" si="1"/>
        <v>0.68846153846154579</v>
      </c>
      <c r="M8" s="194"/>
    </row>
    <row r="9" spans="1:14" s="2" customFormat="1" ht="30" customHeight="1">
      <c r="A9" s="392"/>
      <c r="B9" s="6">
        <v>4</v>
      </c>
      <c r="C9" s="3" t="s">
        <v>102</v>
      </c>
      <c r="D9" s="72">
        <v>3</v>
      </c>
      <c r="E9" s="7">
        <v>41.04</v>
      </c>
      <c r="F9" s="73">
        <f>(42.22+41.75+41.65+41.4+41.25+41.41+41.29+41.27+41.64+41.04+41.23+41.16+41.58+41.24+41.19+41.29+41.18+41.26+41.15+41.45+41.35+41.25+41.35+41.6+41.23+42.34+41.56+41.42+41.69+41.42+41.43+41.33+41.23+41.57+41.32)/35</f>
        <v>41.421142857142854</v>
      </c>
      <c r="G9" s="3">
        <v>136</v>
      </c>
      <c r="H9" s="3">
        <f t="shared" si="2"/>
        <v>36</v>
      </c>
      <c r="I9" s="63">
        <v>6.8437499999999998E-2</v>
      </c>
      <c r="J9" s="63">
        <f t="shared" si="0"/>
        <v>1.8101851851851848E-2</v>
      </c>
      <c r="K9" s="67">
        <f>K7+J9</f>
        <v>4.7847222222222222E-2</v>
      </c>
      <c r="L9" s="186">
        <f t="shared" si="1"/>
        <v>0.38114285714285501</v>
      </c>
      <c r="M9" s="194"/>
    </row>
    <row r="10" spans="1:14" s="2" customFormat="1" ht="30" customHeight="1">
      <c r="A10" s="392"/>
      <c r="B10" s="6">
        <v>5</v>
      </c>
      <c r="C10" s="3" t="s">
        <v>21</v>
      </c>
      <c r="D10" s="72">
        <v>1</v>
      </c>
      <c r="E10" s="206">
        <v>40.89</v>
      </c>
      <c r="F10" s="73">
        <f>(42.48+41.61+41.08+41.51+41.43+41.2+41.01+41.01+41.12+41.3+41.15+41+41.21+40.89+41.11+41.14+41.14+42.16+41.35+41.19+41.18+41.18+41.09+42.34+41.27+41.03+41.22+41.1+41.34+41.17+41.16+41.09+41.32+41.08+41.24+41.22+41.62+41.11+41.06+41.55+41.01+41.05+40.91+41.03+40.98+42.02+41.22+41.17+41.55+41.19+40.99+40.96+40.95+40.94+41.1+41.36+40.91+40.9+41.13)/59</f>
        <v>41.234406779661001</v>
      </c>
      <c r="G10" s="3">
        <v>196</v>
      </c>
      <c r="H10" s="3">
        <f t="shared" si="2"/>
        <v>60</v>
      </c>
      <c r="I10" s="63">
        <v>9.7824074074074077E-2</v>
      </c>
      <c r="J10" s="63">
        <f t="shared" si="0"/>
        <v>2.9386574074074079E-2</v>
      </c>
      <c r="K10" s="67">
        <f>K8+J10</f>
        <v>4.9976851851851856E-2</v>
      </c>
      <c r="L10" s="188">
        <f t="shared" si="1"/>
        <v>0.34440677966099997</v>
      </c>
      <c r="M10" s="194"/>
    </row>
    <row r="11" spans="1:14" s="2" customFormat="1" ht="30" customHeight="1">
      <c r="A11" s="392"/>
      <c r="B11" s="6">
        <v>6</v>
      </c>
      <c r="C11" s="3" t="s">
        <v>102</v>
      </c>
      <c r="D11" s="72">
        <v>15</v>
      </c>
      <c r="E11" s="207">
        <v>41.37</v>
      </c>
      <c r="F11" s="73">
        <f>(43.06+41.92+41.96+41.71+41.63+42.03+41.87+41.62+41.97+41.48+41.64+41.61+41.47+41.57+41.66+41.76+42.12+41.53+41.61+41.61+41.66+41.7+41.78+42.42+41.89+41.37+41.46+41.64+41.41+42.68+41.81+42.08+41.62+41.51+41.79+41.73+41.54+41.45+41.58+41.55+41.55+41.58+41.52+41.56+41.58+41.53+41.73)/47</f>
        <v>41.735106382978714</v>
      </c>
      <c r="G11" s="3">
        <v>244</v>
      </c>
      <c r="H11" s="3">
        <f t="shared" si="2"/>
        <v>48</v>
      </c>
      <c r="I11" s="63">
        <v>0.12181712962962964</v>
      </c>
      <c r="J11" s="63">
        <f t="shared" si="0"/>
        <v>2.3993055555555559E-2</v>
      </c>
      <c r="K11" s="67">
        <f>K9+J11</f>
        <v>7.1840277777777781E-2</v>
      </c>
      <c r="L11" s="186">
        <f t="shared" si="1"/>
        <v>0.36510638297871623</v>
      </c>
      <c r="M11" s="194"/>
    </row>
    <row r="12" spans="1:14" s="2" customFormat="1" ht="30" customHeight="1">
      <c r="A12" s="392"/>
      <c r="B12" s="6">
        <v>7</v>
      </c>
      <c r="C12" s="3" t="s">
        <v>21</v>
      </c>
      <c r="D12" s="72">
        <v>6</v>
      </c>
      <c r="E12" s="74">
        <v>41.24</v>
      </c>
      <c r="F12" s="73">
        <f>(42.19+43.33+41.69+41.6+41.73+41.97+41.33+41.66+41.59+41.54+41.3+41.4+41.55+41.46+41.63+41.38+41.43+41.35+41.46+41.85+41.32+41.47+41.27+41.35+41.41+41.66+41.24+41.66+41.61+41.84+41.62+41.48+41.34+41.49+41.45+41.63+41.82+42.38+41.43+41.64+41.32+41.64+41.32+41.47+41.5+41.36+41.5+41.36+41.52+41.37+41.66+41.74+41.96+41.4+41.86+41.28+41.78+41.75+41.35+42.12+42.36+41.62)/62</f>
        <v>41.609516129032265</v>
      </c>
      <c r="G12" s="3">
        <v>308</v>
      </c>
      <c r="H12" s="3">
        <f t="shared" si="2"/>
        <v>64</v>
      </c>
      <c r="I12" s="63">
        <v>0.15481481481481482</v>
      </c>
      <c r="J12" s="63">
        <f t="shared" si="0"/>
        <v>3.2997685185185185E-2</v>
      </c>
      <c r="K12" s="65">
        <f>K10+J12</f>
        <v>8.2974537037037041E-2</v>
      </c>
      <c r="L12" s="186">
        <f t="shared" si="1"/>
        <v>0.36951612903226305</v>
      </c>
      <c r="M12" s="200">
        <f>AVERAGE(L8,L10,L12)</f>
        <v>0.46746148238493629</v>
      </c>
      <c r="N12" s="2" t="s">
        <v>148</v>
      </c>
    </row>
    <row r="13" spans="1:14" s="2" customFormat="1" ht="30" customHeight="1" thickBot="1">
      <c r="A13" s="392"/>
      <c r="B13" s="71" t="s">
        <v>13</v>
      </c>
      <c r="C13" s="195" t="s">
        <v>102</v>
      </c>
      <c r="D13" s="195">
        <v>10</v>
      </c>
      <c r="E13" s="195">
        <v>41.67</v>
      </c>
      <c r="F13" s="196">
        <f>(42.68+42.21+42.22+42.28+42.14+42.13+42.31+42.77+41.69+41.97+42.03+41.84+43.21+42.05+42.18+41.99+42.29+42.85+42.16+42.01+42.89+41.67+42.34+41.98+42.14)/25</f>
        <v>42.241199999999999</v>
      </c>
      <c r="G13" s="195">
        <v>334</v>
      </c>
      <c r="H13" s="195">
        <f>G13-G12</f>
        <v>26</v>
      </c>
      <c r="I13" s="197">
        <v>0.1673611111111111</v>
      </c>
      <c r="J13" s="197">
        <f>I13-I12</f>
        <v>1.2546296296296278E-2</v>
      </c>
      <c r="K13" s="219">
        <f>K11+J13</f>
        <v>8.4386574074074058E-2</v>
      </c>
      <c r="L13" s="199">
        <f t="shared" si="1"/>
        <v>0.57119999999999749</v>
      </c>
      <c r="M13" s="201">
        <f>AVERAGE(L6,L7,L9,L11,L13)</f>
        <v>0.46303429246876104</v>
      </c>
      <c r="N13" s="2" t="s">
        <v>149</v>
      </c>
    </row>
    <row r="14" spans="1:14" ht="27" customHeight="1" thickBot="1">
      <c r="A14" s="393"/>
      <c r="B14" s="385" t="s">
        <v>127</v>
      </c>
      <c r="C14" s="386"/>
      <c r="D14" s="386"/>
      <c r="E14" s="204">
        <f>AVERAGE(E6:E13)</f>
        <v>41.10125</v>
      </c>
      <c r="F14" s="205">
        <f>AVERAGE(F6:F13)</f>
        <v>41.565944488687322</v>
      </c>
      <c r="G14" s="47"/>
      <c r="H14" s="47"/>
      <c r="I14" s="47"/>
      <c r="J14" s="47"/>
      <c r="K14" s="47"/>
      <c r="L14" s="47"/>
      <c r="M14" s="47"/>
      <c r="N14" s="2"/>
    </row>
    <row r="16" spans="1:14" ht="15.75">
      <c r="A16" s="209" t="s">
        <v>150</v>
      </c>
    </row>
    <row r="17" spans="1:1" ht="15.75">
      <c r="A17" s="209" t="s">
        <v>151</v>
      </c>
    </row>
  </sheetData>
  <mergeCells count="15">
    <mergeCell ref="B14:D14"/>
    <mergeCell ref="A1:M1"/>
    <mergeCell ref="A3:M3"/>
    <mergeCell ref="L4:M4"/>
    <mergeCell ref="A6:A14"/>
    <mergeCell ref="H4:H5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80" orientation="landscape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6"/>
  <sheetViews>
    <sheetView zoomScale="90" zoomScaleNormal="90" workbookViewId="0">
      <selection activeCell="D9" sqref="D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387" t="s">
        <v>128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4" ht="10.5" customHeight="1"/>
    <row r="3" spans="1:14" ht="15.75" customHeight="1" thickBot="1">
      <c r="A3" s="388" t="s">
        <v>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</row>
    <row r="4" spans="1:14" s="1" customFormat="1" ht="25.5" customHeight="1">
      <c r="A4" s="396" t="s">
        <v>6</v>
      </c>
      <c r="B4" s="398" t="s">
        <v>7</v>
      </c>
      <c r="C4" s="394" t="s">
        <v>2</v>
      </c>
      <c r="D4" s="401" t="s">
        <v>5</v>
      </c>
      <c r="E4" s="403" t="s">
        <v>103</v>
      </c>
      <c r="F4" s="403" t="s">
        <v>91</v>
      </c>
      <c r="G4" s="394" t="s">
        <v>126</v>
      </c>
      <c r="H4" s="394" t="s">
        <v>172</v>
      </c>
      <c r="I4" s="394" t="s">
        <v>92</v>
      </c>
      <c r="J4" s="290" t="s">
        <v>14</v>
      </c>
      <c r="K4" s="305"/>
      <c r="L4" s="389" t="s">
        <v>131</v>
      </c>
      <c r="M4" s="390"/>
    </row>
    <row r="5" spans="1:14" s="1" customFormat="1" ht="22.5" customHeight="1" thickBot="1">
      <c r="A5" s="397"/>
      <c r="B5" s="405"/>
      <c r="C5" s="395"/>
      <c r="D5" s="406"/>
      <c r="E5" s="407"/>
      <c r="F5" s="407"/>
      <c r="G5" s="395"/>
      <c r="H5" s="395"/>
      <c r="I5" s="395"/>
      <c r="J5" s="191" t="s">
        <v>1</v>
      </c>
      <c r="K5" s="223" t="s">
        <v>0</v>
      </c>
      <c r="L5" s="224" t="s">
        <v>132</v>
      </c>
      <c r="M5" s="193" t="s">
        <v>133</v>
      </c>
    </row>
    <row r="6" spans="1:14" s="2" customFormat="1" ht="30" customHeight="1">
      <c r="A6" s="391" t="s">
        <v>125</v>
      </c>
      <c r="B6" s="6">
        <v>1</v>
      </c>
      <c r="C6" s="74" t="s">
        <v>37</v>
      </c>
      <c r="D6" s="15">
        <v>11</v>
      </c>
      <c r="E6" s="213">
        <v>41.32</v>
      </c>
      <c r="F6" s="190">
        <f>(42.24+41.65+41.79+41.97+42.63+41.32+41.85+41.95+41.59+41.64+41.77+41.8+41.61+41.63+41.89+41.65+41.67+41.56+42.16)/19</f>
        <v>41.808947368421038</v>
      </c>
      <c r="G6" s="74">
        <v>20</v>
      </c>
      <c r="H6" s="211">
        <f>G6-0</f>
        <v>20</v>
      </c>
      <c r="I6" s="183">
        <v>1.0891203703703703E-2</v>
      </c>
      <c r="J6" s="183">
        <f>I6</f>
        <v>1.0891203703703703E-2</v>
      </c>
      <c r="K6" s="184">
        <f>J6</f>
        <v>1.0891203703703703E-2</v>
      </c>
      <c r="L6" s="185">
        <f>F6-E6</f>
        <v>0.48894736842103725</v>
      </c>
      <c r="M6" s="194"/>
    </row>
    <row r="7" spans="1:14" s="2" customFormat="1" ht="30" customHeight="1" thickBot="1">
      <c r="A7" s="392"/>
      <c r="B7" s="6">
        <v>2</v>
      </c>
      <c r="C7" s="8" t="s">
        <v>36</v>
      </c>
      <c r="D7" s="3">
        <v>4</v>
      </c>
      <c r="E7" s="74">
        <v>41.89</v>
      </c>
      <c r="F7" s="62">
        <f>(42.78+42.23+41.81+42.3+41.97+41.86+44.23+42.73+42.15+42.01+41.99+42.06+42.06+41.94+42.02+42.03+42.26+41.99+41.89+41.92)/20</f>
        <v>42.211500000000001</v>
      </c>
      <c r="G7" s="3">
        <v>44</v>
      </c>
      <c r="H7" s="3">
        <f>G7-G6</f>
        <v>24</v>
      </c>
      <c r="I7" s="63">
        <v>2.3194444444444445E-2</v>
      </c>
      <c r="J7" s="63">
        <f>I7-I6</f>
        <v>1.2303240740740741E-2</v>
      </c>
      <c r="K7" s="64">
        <f>J7</f>
        <v>1.2303240740740741E-2</v>
      </c>
      <c r="L7" s="188">
        <f t="shared" ref="L7:L13" si="0">F7-E7</f>
        <v>0.32150000000000034</v>
      </c>
      <c r="M7" s="194"/>
    </row>
    <row r="8" spans="1:14" s="2" customFormat="1" ht="30" customHeight="1" thickBot="1">
      <c r="A8" s="392"/>
      <c r="B8" s="6">
        <v>3</v>
      </c>
      <c r="C8" s="3" t="s">
        <v>37</v>
      </c>
      <c r="D8" s="3">
        <v>21</v>
      </c>
      <c r="E8" s="203">
        <v>41.22</v>
      </c>
      <c r="F8" s="62">
        <f>(42.36+41.38+41.22+41.65+42.37+41.27+41.28+41.37+41.23+41.42+41.33+41.36+41.29+41.91+41.76+41.48+41.4+41.5+43.36+41.92+41.33+41.38+41.36+41.39+41.42+41.57+41.83+41.5+41.42+41.46+41.43+41.36+41.57+41.52+41.47+41.29+41.49+41.23+41.62+41.85+41.3+41.37+41.25+41.71+41.6+42.39+41.56+41.45+41.56+41.9+41.56+41.78+41.58+41.47+42.06+41.57+42.11)/57</f>
        <v>41.588947368421046</v>
      </c>
      <c r="G8" s="3">
        <v>103</v>
      </c>
      <c r="H8" s="3">
        <f t="shared" ref="H8:H12" si="1">G8-G7</f>
        <v>59</v>
      </c>
      <c r="I8" s="63">
        <v>5.2025462962962961E-2</v>
      </c>
      <c r="J8" s="63">
        <f>I8-I7</f>
        <v>2.8831018518518516E-2</v>
      </c>
      <c r="K8" s="64">
        <f>J8+J6</f>
        <v>3.9722222222222221E-2</v>
      </c>
      <c r="L8" s="187">
        <f t="shared" si="0"/>
        <v>0.36894736842104692</v>
      </c>
      <c r="M8" s="194"/>
    </row>
    <row r="9" spans="1:14" s="2" customFormat="1" ht="30" customHeight="1">
      <c r="A9" s="392"/>
      <c r="B9" s="6">
        <v>4</v>
      </c>
      <c r="C9" s="3" t="s">
        <v>36</v>
      </c>
      <c r="D9" s="72">
        <v>13</v>
      </c>
      <c r="E9" s="3">
        <v>41.15</v>
      </c>
      <c r="F9" s="73">
        <f>(42.5+41.89+41.65+41.36+41.7+41.9+41.63+41.44+41.53+41.6+41.39+41.35+41.53+42.05+41.48+41.61+41.38+41.29+41.55+41.93+41.55+41.41+41.28+41.54+41.37+41.33+41.41+41.36+41.42+41.47+41.39+41.7+41.46+41.39+41.56+41.53+41.62+41.2+41.69+41.43+41.33+41.53+41.54+41.39+41.23+41.24+41.15+41.28+41.22+41.5+41.21+41.42+41.66)/53</f>
        <v>41.501320754716978</v>
      </c>
      <c r="G9" s="3">
        <v>157</v>
      </c>
      <c r="H9" s="3">
        <f t="shared" si="1"/>
        <v>54</v>
      </c>
      <c r="I9" s="63">
        <v>7.8773148148148148E-2</v>
      </c>
      <c r="J9" s="63">
        <f t="shared" ref="J9:J12" si="2">I9-I8</f>
        <v>2.6747685185185187E-2</v>
      </c>
      <c r="K9" s="67">
        <f>J9+J7</f>
        <v>3.9050925925925926E-2</v>
      </c>
      <c r="L9" s="186">
        <f t="shared" si="0"/>
        <v>0.35132075471697988</v>
      </c>
      <c r="M9" s="194"/>
    </row>
    <row r="10" spans="1:14" s="2" customFormat="1" ht="30" customHeight="1" thickBot="1">
      <c r="A10" s="392"/>
      <c r="B10" s="6">
        <v>5</v>
      </c>
      <c r="C10" s="3" t="s">
        <v>37</v>
      </c>
      <c r="D10" s="3">
        <v>3</v>
      </c>
      <c r="E10" s="75">
        <v>41.28</v>
      </c>
      <c r="F10" s="62">
        <f>(42.87+42.17+42.45+41.7+41.48+41.57+41.52+41.38+41.56+41.4+41.49+41.63+41.52+41.57+41.48+41.67+41.4+41.28+41.46+41.34+41.5+41.68+41.28+41.86+41.42+41.73+41.78+41.52+41.67)/29</f>
        <v>41.633793103448276</v>
      </c>
      <c r="G10" s="3">
        <v>187</v>
      </c>
      <c r="H10" s="3">
        <f t="shared" si="1"/>
        <v>30</v>
      </c>
      <c r="I10" s="63">
        <v>9.402777777777778E-2</v>
      </c>
      <c r="J10" s="63">
        <f t="shared" si="2"/>
        <v>1.5254629629629632E-2</v>
      </c>
      <c r="K10" s="67">
        <f>J10+K8</f>
        <v>5.4976851851851853E-2</v>
      </c>
      <c r="L10" s="186">
        <f t="shared" si="0"/>
        <v>0.3537931034482753</v>
      </c>
      <c r="M10" s="194"/>
    </row>
    <row r="11" spans="1:14" s="2" customFormat="1" ht="30" customHeight="1" thickBot="1">
      <c r="A11" s="392"/>
      <c r="B11" s="6">
        <v>6</v>
      </c>
      <c r="C11" s="3" t="s">
        <v>36</v>
      </c>
      <c r="D11" s="72">
        <v>2</v>
      </c>
      <c r="E11" s="203">
        <v>41.28</v>
      </c>
      <c r="F11" s="73">
        <f>(42.77+41.97+41.97+41.66+41.67+41.63+41.73+43+41.65+41.59+41.63+41.64+41.91+41.89+41.38+41.8+41.43+41.36+41.56+41.45+41.42+41.31+41.66+41.6+41.57+41.58+41.57+41.26+41.42+41.47+41.47+41.43+42.79+41.5+41.41+41.33+41.35+41.28+41.61+41.53+41.69+41.82+41.66+41.53+41.52+41.52+41.61+41.44+41.43+41.44+41.49+41.51+41.58+41.74+41.52+43.07+41.64+41.62+41.54+41.4+41.34+41.52+41.5+41.46)/64</f>
        <v>41.638124999999988</v>
      </c>
      <c r="G11" s="3">
        <v>252</v>
      </c>
      <c r="H11" s="3">
        <f t="shared" si="1"/>
        <v>65</v>
      </c>
      <c r="I11" s="63">
        <v>0.12608796296296296</v>
      </c>
      <c r="J11" s="63">
        <f t="shared" si="2"/>
        <v>3.2060185185185178E-2</v>
      </c>
      <c r="K11" s="67">
        <f>J11+K9</f>
        <v>7.1111111111111097E-2</v>
      </c>
      <c r="L11" s="186">
        <f t="shared" si="0"/>
        <v>0.35812499999998693</v>
      </c>
      <c r="M11" s="194"/>
    </row>
    <row r="12" spans="1:14" s="2" customFormat="1" ht="30" customHeight="1">
      <c r="A12" s="392"/>
      <c r="B12" s="6">
        <v>7</v>
      </c>
      <c r="C12" s="3" t="s">
        <v>37</v>
      </c>
      <c r="D12" s="72">
        <v>9</v>
      </c>
      <c r="E12" s="74">
        <v>41.11</v>
      </c>
      <c r="F12" s="73">
        <f>(42.1+41.76+41.49+41.11+42.35+41.41+41.62+41.65+41.47+41.49+41.21+41.36+41.32+42.16+41.52+41.43+41.35+41.75+41.26+41.15+41.4+41.24+41.84+41.78+41.63+41.26+42.06+41.41+41.34+41.36+41.54+41.46+41.59+41.45+41.45+41.78+41.48+41.7+41.7+41.61+41.49+41.68+41.56+41.2+41.46+41.52+41.94+41.57+41.3+41.63+41.57+42+41.6+41.48+41.81)/55</f>
        <v>41.560909090909092</v>
      </c>
      <c r="G12" s="3">
        <v>309</v>
      </c>
      <c r="H12" s="3">
        <f t="shared" si="1"/>
        <v>57</v>
      </c>
      <c r="I12" s="63">
        <v>0.15568287037037037</v>
      </c>
      <c r="J12" s="63">
        <f t="shared" si="2"/>
        <v>2.9594907407407417E-2</v>
      </c>
      <c r="K12" s="66">
        <f>J12+K10</f>
        <v>8.4571759259259277E-2</v>
      </c>
      <c r="L12" s="186">
        <f t="shared" si="0"/>
        <v>0.45090909090909292</v>
      </c>
      <c r="M12" s="200">
        <f>AVERAGE(L6,L8,L10,L12)</f>
        <v>0.4156492327998631</v>
      </c>
      <c r="N12" s="2" t="s">
        <v>37</v>
      </c>
    </row>
    <row r="13" spans="1:14" s="2" customFormat="1" ht="30" customHeight="1" thickBot="1">
      <c r="A13" s="392"/>
      <c r="B13" s="71" t="s">
        <v>13</v>
      </c>
      <c r="C13" s="195" t="s">
        <v>36</v>
      </c>
      <c r="D13" s="195">
        <v>6</v>
      </c>
      <c r="E13" s="195">
        <v>41.66</v>
      </c>
      <c r="F13" s="196">
        <f>(42.96+42.4+43.18+42.28+42.24+41.91+41.77+41.98+41.78+41.92+41.92+41.76+41.92+41.91+41.7+41.89+41.95+41.66+41.7+41.85+41.79+41.81+41.71+42.12)/24</f>
        <v>42.004583333333336</v>
      </c>
      <c r="G13" s="195">
        <v>334</v>
      </c>
      <c r="H13" s="195">
        <f>G13-G12</f>
        <v>25</v>
      </c>
      <c r="I13" s="197">
        <v>0.1673611111111111</v>
      </c>
      <c r="J13" s="197">
        <f>I13-I12</f>
        <v>1.1678240740740725E-2</v>
      </c>
      <c r="K13" s="198">
        <f>J13+K11</f>
        <v>8.2789351851851822E-2</v>
      </c>
      <c r="L13" s="199">
        <f t="shared" si="0"/>
        <v>0.34458333333333968</v>
      </c>
      <c r="M13" s="201">
        <f>AVERAGE(L7,L9,L11,L13)</f>
        <v>0.34388227201257671</v>
      </c>
      <c r="N13" s="2" t="s">
        <v>145</v>
      </c>
    </row>
    <row r="14" spans="1:14" ht="26.25" customHeight="1" thickBot="1">
      <c r="A14" s="393"/>
      <c r="B14" s="385" t="s">
        <v>127</v>
      </c>
      <c r="C14" s="386"/>
      <c r="D14" s="386"/>
      <c r="E14" s="204">
        <f>AVERAGE(E6:E13)</f>
        <v>41.363749999999996</v>
      </c>
      <c r="F14" s="205">
        <f>AVERAGE(F6:F13)</f>
        <v>41.743515752406225</v>
      </c>
      <c r="G14" s="47"/>
      <c r="H14" s="47"/>
      <c r="I14" s="47"/>
      <c r="J14" s="47"/>
      <c r="K14" s="47"/>
      <c r="L14" s="47"/>
      <c r="M14" s="47"/>
      <c r="N14" s="2"/>
    </row>
    <row r="16" spans="1:14" ht="15.75">
      <c r="A16" s="209" t="s">
        <v>147</v>
      </c>
    </row>
  </sheetData>
  <mergeCells count="15">
    <mergeCell ref="A1:M1"/>
    <mergeCell ref="A3:M3"/>
    <mergeCell ref="L4:M4"/>
    <mergeCell ref="A6:A14"/>
    <mergeCell ref="B14:D14"/>
    <mergeCell ref="H4:H5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84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E6" sqref="E6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387" t="s">
        <v>128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4" ht="10.5" customHeight="1"/>
    <row r="3" spans="1:14" ht="15.75" customHeight="1" thickBot="1">
      <c r="A3" s="388" t="s">
        <v>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</row>
    <row r="4" spans="1:14" s="1" customFormat="1" ht="25.5" customHeight="1">
      <c r="A4" s="396" t="s">
        <v>6</v>
      </c>
      <c r="B4" s="398" t="s">
        <v>7</v>
      </c>
      <c r="C4" s="394" t="s">
        <v>2</v>
      </c>
      <c r="D4" s="401" t="s">
        <v>5</v>
      </c>
      <c r="E4" s="403" t="s">
        <v>103</v>
      </c>
      <c r="F4" s="403" t="s">
        <v>91</v>
      </c>
      <c r="G4" s="394" t="s">
        <v>126</v>
      </c>
      <c r="H4" s="394" t="s">
        <v>172</v>
      </c>
      <c r="I4" s="394" t="s">
        <v>92</v>
      </c>
      <c r="J4" s="290" t="s">
        <v>14</v>
      </c>
      <c r="K4" s="290"/>
      <c r="L4" s="290" t="s">
        <v>131</v>
      </c>
      <c r="M4" s="390"/>
    </row>
    <row r="5" spans="1:14" s="1" customFormat="1" ht="22.5" customHeight="1" thickBot="1">
      <c r="A5" s="397"/>
      <c r="B5" s="399"/>
      <c r="C5" s="400"/>
      <c r="D5" s="402"/>
      <c r="E5" s="404"/>
      <c r="F5" s="404"/>
      <c r="G5" s="400"/>
      <c r="H5" s="395"/>
      <c r="I5" s="400"/>
      <c r="J5" s="69" t="s">
        <v>1</v>
      </c>
      <c r="K5" s="69" t="s">
        <v>0</v>
      </c>
      <c r="L5" s="189" t="s">
        <v>132</v>
      </c>
      <c r="M5" s="210" t="s">
        <v>133</v>
      </c>
    </row>
    <row r="6" spans="1:14" s="2" customFormat="1" ht="30" customHeight="1">
      <c r="A6" s="391" t="s">
        <v>18</v>
      </c>
      <c r="B6" s="70">
        <v>1</v>
      </c>
      <c r="C6" s="211" t="s">
        <v>29</v>
      </c>
      <c r="D6" s="212">
        <v>3</v>
      </c>
      <c r="E6" s="213">
        <v>41.04</v>
      </c>
      <c r="F6" s="214">
        <f>(42.91+41.65+41.33+41.62+41.48+41.09+41.17+41.09+41.23+41.28+41.35+41.19+41.04+41.51+41.26+41.18+41.18+41.33+41.38+41.41+41.19+41.71+41.29+41.4+41.2+41.18+42.02+41.18+41.33+41.53+41.42+41.44+41.37+41.9+41.51+42.58+41.35+41.69+41.37)/39</f>
        <v>41.444615384615375</v>
      </c>
      <c r="G6" s="211">
        <v>41</v>
      </c>
      <c r="H6" s="211">
        <f>G6-0</f>
        <v>41</v>
      </c>
      <c r="I6" s="215">
        <v>2.0474537037037038E-2</v>
      </c>
      <c r="J6" s="215">
        <f>I6</f>
        <v>2.0474537037037038E-2</v>
      </c>
      <c r="K6" s="216">
        <f>J6</f>
        <v>2.0474537037037038E-2</v>
      </c>
      <c r="L6" s="222">
        <f>F6-E6</f>
        <v>0.40461538461537572</v>
      </c>
      <c r="M6" s="218"/>
    </row>
    <row r="7" spans="1:14" s="2" customFormat="1" ht="30" customHeight="1">
      <c r="A7" s="392"/>
      <c r="B7" s="6">
        <v>2</v>
      </c>
      <c r="C7" s="271" t="s">
        <v>30</v>
      </c>
      <c r="D7" s="72">
        <v>10</v>
      </c>
      <c r="E7" s="75">
        <v>41.59</v>
      </c>
      <c r="F7" s="62">
        <f>(43.69+42.63+42.91+42.09+42.13+42.01+42+42.07+41.92+41.99+42.02+42.69+42.13+41.93+41.96+41.85+41.94+41.66+42.2+41.96+41.59+42.11+41.89+41.82)/24</f>
        <v>42.132916666666674</v>
      </c>
      <c r="G7" s="3">
        <v>66</v>
      </c>
      <c r="H7" s="3">
        <f>G7-G6</f>
        <v>25</v>
      </c>
      <c r="I7" s="63">
        <v>3.3402777777777774E-2</v>
      </c>
      <c r="J7" s="63">
        <f>I7-I6</f>
        <v>1.2928240740740737E-2</v>
      </c>
      <c r="K7" s="64">
        <f>J7</f>
        <v>1.2928240740740737E-2</v>
      </c>
      <c r="L7" s="186">
        <f t="shared" ref="L7:L13" si="0">F7-E7</f>
        <v>0.54291666666667027</v>
      </c>
      <c r="M7" s="194"/>
    </row>
    <row r="8" spans="1:14" s="2" customFormat="1" ht="30" customHeight="1">
      <c r="A8" s="392"/>
      <c r="B8" s="6">
        <v>3</v>
      </c>
      <c r="C8" s="3" t="s">
        <v>30</v>
      </c>
      <c r="D8" s="72">
        <v>3</v>
      </c>
      <c r="E8" s="206">
        <v>41.42</v>
      </c>
      <c r="F8" s="73">
        <f>(42.79+42.39+42.22+42.32+42.15+41.65+41.48+42.04+41.51+41.76+41.82+41.75+41.77+41.45+41.7+41.56+41.43+41.88+41.42+42.17+42.6+42.47+42.7+43.18+44.2+41.83+42.14+44.91+42.19)/29</f>
        <v>42.188965517241385</v>
      </c>
      <c r="G8" s="3">
        <v>96</v>
      </c>
      <c r="H8" s="3">
        <f t="shared" ref="H8:H12" si="1">G8-G7</f>
        <v>30</v>
      </c>
      <c r="I8" s="63">
        <v>4.8784722222222222E-2</v>
      </c>
      <c r="J8" s="63">
        <f>I8-I7</f>
        <v>1.5381944444444448E-2</v>
      </c>
      <c r="K8" s="64">
        <f>J8+K7</f>
        <v>2.8310185185185185E-2</v>
      </c>
      <c r="L8" s="187">
        <f t="shared" si="0"/>
        <v>0.76896551724138362</v>
      </c>
      <c r="M8" s="194"/>
    </row>
    <row r="9" spans="1:14" s="2" customFormat="1" ht="30" customHeight="1" thickBot="1">
      <c r="A9" s="392"/>
      <c r="B9" s="6">
        <v>4</v>
      </c>
      <c r="C9" s="3" t="s">
        <v>29</v>
      </c>
      <c r="D9" s="72">
        <v>6</v>
      </c>
      <c r="E9" s="206">
        <v>41.24</v>
      </c>
      <c r="F9" s="73">
        <f>(42.72+41.71+41.68+41.61+41.62+41.56+41.94+41.43+41.58+41.53+41.65+41.42+41.44+41.31+41.35+41.41+41.38+41.31+41.67+41.28+41.52+41.28+41.36+41.52+41.46+41.3+41.3+41.33+41.39+41.36+41.24+41.5+41.39+41.33+41.3+42.5+41.39+41.65+41.38+41.54+41.32+41.45+41.45+41.56+41.43+41.48+41.52+41.45+41.38+41.53+41.52+41.53+41.39+41.45+41.34+41.45+41.35+41.47+41.81+41.8+41.58+41.66+42.13+41.72+41.74+41.73+41.82)/67</f>
        <v>41.532835820895521</v>
      </c>
      <c r="G9" s="3">
        <v>164</v>
      </c>
      <c r="H9" s="3">
        <f t="shared" si="1"/>
        <v>68</v>
      </c>
      <c r="I9" s="63">
        <v>8.2418981481481482E-2</v>
      </c>
      <c r="J9" s="63">
        <f t="shared" ref="J9:J12" si="2">I9-I8</f>
        <v>3.363425925925926E-2</v>
      </c>
      <c r="K9" s="67">
        <f>J9+K6</f>
        <v>5.4108796296296294E-2</v>
      </c>
      <c r="L9" s="186">
        <f t="shared" si="0"/>
        <v>0.29283582089551885</v>
      </c>
      <c r="M9" s="194"/>
    </row>
    <row r="10" spans="1:14" s="2" customFormat="1" ht="30" customHeight="1" thickBot="1">
      <c r="A10" s="392"/>
      <c r="B10" s="6">
        <v>5</v>
      </c>
      <c r="C10" s="3" t="s">
        <v>30</v>
      </c>
      <c r="D10" s="72">
        <v>9</v>
      </c>
      <c r="E10" s="203">
        <v>41.2</v>
      </c>
      <c r="F10" s="73">
        <f>(42.82+42.23+41.8+41.75+41.99+42.18+41.78+41.7+41.63+41.73+41.85+41.38+41.93+41.35+41.39+41.48+41.41+41.57+41.54+41.55+41.76+41.54+41.67+41.6+41.43+41.23+41.76+41.61+41.92+42.43+41.51+41.71+41.59+41.43+41.56+41.42+41.52+41.81+41.5+41.67+41.48+41.59+41.43+41.54+41.6+41.47+41.52+41.69+42.32+41.52+41.62+41.58+41.42+41.91+41.71+42.85+41.52+41.36+41.88+41.5+41.2+42.48+41.92+41.87+41.67+41.54+41.61)/67</f>
        <v>41.694477611940293</v>
      </c>
      <c r="G10" s="3">
        <v>232</v>
      </c>
      <c r="H10" s="3">
        <f t="shared" si="1"/>
        <v>68</v>
      </c>
      <c r="I10" s="63">
        <v>0.11597222222222221</v>
      </c>
      <c r="J10" s="63">
        <f t="shared" si="2"/>
        <v>3.3553240740740731E-2</v>
      </c>
      <c r="K10" s="67">
        <f>J10+K8</f>
        <v>6.1863425925925919E-2</v>
      </c>
      <c r="L10" s="186">
        <f t="shared" si="0"/>
        <v>0.49447761194029027</v>
      </c>
      <c r="M10" s="194"/>
    </row>
    <row r="11" spans="1:14" s="2" customFormat="1" ht="30" customHeight="1">
      <c r="A11" s="392"/>
      <c r="B11" s="6">
        <v>6</v>
      </c>
      <c r="C11" s="3" t="s">
        <v>30</v>
      </c>
      <c r="D11" s="72">
        <v>4</v>
      </c>
      <c r="E11" s="206">
        <v>41.93</v>
      </c>
      <c r="F11" s="73">
        <f>(43.92+42.57+42+42.11+42.26+43.34+41.98+42.3+42.24+41.94+42.3+42.19+42+42.49+42.09+42.21+41.98+42.09+42.11+42.17+41.93+42.33+42.25)/23</f>
        <v>42.295652173913048</v>
      </c>
      <c r="G11" s="3">
        <v>256</v>
      </c>
      <c r="H11" s="3">
        <f t="shared" si="1"/>
        <v>24</v>
      </c>
      <c r="I11" s="63">
        <v>0.12847222222222224</v>
      </c>
      <c r="J11" s="63">
        <f t="shared" si="2"/>
        <v>1.2500000000000025E-2</v>
      </c>
      <c r="K11" s="67">
        <f>J11+K10</f>
        <v>7.4363425925925944E-2</v>
      </c>
      <c r="L11" s="186">
        <f t="shared" si="0"/>
        <v>0.36565217391304827</v>
      </c>
      <c r="M11" s="194"/>
    </row>
    <row r="12" spans="1:14" s="2" customFormat="1" ht="30" customHeight="1" thickBot="1">
      <c r="A12" s="392"/>
      <c r="B12" s="6">
        <v>7</v>
      </c>
      <c r="C12" s="3" t="s">
        <v>29</v>
      </c>
      <c r="D12" s="72">
        <v>3</v>
      </c>
      <c r="E12" s="74">
        <v>41.26</v>
      </c>
      <c r="F12" s="73">
        <f>(42.68+42.14+41.58+41.57+41.51+41.51+41.48+41.47+41.33+41.45+41.5+41.38+41.26+41.5+41.42+41.92+41.68+42.19+41.48+41.52)/20</f>
        <v>41.628499999999988</v>
      </c>
      <c r="G12" s="3">
        <v>278</v>
      </c>
      <c r="H12" s="3">
        <f t="shared" si="1"/>
        <v>22</v>
      </c>
      <c r="I12" s="63">
        <v>0.14125000000000001</v>
      </c>
      <c r="J12" s="63">
        <f t="shared" si="2"/>
        <v>1.2777777777777777E-2</v>
      </c>
      <c r="K12" s="65">
        <f>J12+K9</f>
        <v>6.6886574074074071E-2</v>
      </c>
      <c r="L12" s="186">
        <f t="shared" si="0"/>
        <v>0.36849999999999028</v>
      </c>
      <c r="M12" s="200">
        <f>AVERAGE(L7,L8,L10,L11)</f>
        <v>0.54300299244034811</v>
      </c>
      <c r="N12" s="2" t="s">
        <v>138</v>
      </c>
    </row>
    <row r="13" spans="1:14" s="2" customFormat="1" ht="30" customHeight="1" thickBot="1">
      <c r="A13" s="392"/>
      <c r="B13" s="71" t="s">
        <v>13</v>
      </c>
      <c r="C13" s="195" t="s">
        <v>29</v>
      </c>
      <c r="D13" s="195">
        <v>1</v>
      </c>
      <c r="E13" s="203">
        <v>40.909999999999997</v>
      </c>
      <c r="F13" s="196">
        <f>(41.93+41.25+41.85+41.29+41.34+41.25+41.27+41.19+41.26+41.22+41.02+41.12+41.16+41.22+41.04+41.08+41.13+41.13+41.19+41.14+41.13+41.13+41.23+41.05+41.01+41.13+40.99+41.17+41.32+41+41.25+41.13+41.04+41.13+40.91+41.11+41.02+40.95+41.03+41.16+41.22+41.31+41+40.99+41.03+41.54+40.98+41.25+40.98+41.86+41.19+41.85+41.19+41.13+41.19)/55</f>
        <v>41.194181818181832</v>
      </c>
      <c r="G13" s="195">
        <v>334</v>
      </c>
      <c r="H13" s="195">
        <f>G13-G12</f>
        <v>56</v>
      </c>
      <c r="I13" s="197">
        <v>0.1673611111111111</v>
      </c>
      <c r="J13" s="197">
        <f>I13-I12</f>
        <v>2.6111111111111085E-2</v>
      </c>
      <c r="K13" s="219">
        <f>J13+K12</f>
        <v>9.2997685185185155E-2</v>
      </c>
      <c r="L13" s="221">
        <f t="shared" si="0"/>
        <v>0.28418181818183541</v>
      </c>
      <c r="M13" s="201">
        <f>AVERAGE(L6,L9,L12,L13)</f>
        <v>0.33753325592318006</v>
      </c>
      <c r="N13" s="2" t="s">
        <v>139</v>
      </c>
    </row>
    <row r="14" spans="1:14" ht="27" customHeight="1" thickBot="1">
      <c r="A14" s="393"/>
      <c r="B14" s="385" t="s">
        <v>127</v>
      </c>
      <c r="C14" s="386"/>
      <c r="D14" s="386"/>
      <c r="E14" s="204">
        <f>AVERAGE(E6:E13)</f>
        <v>41.323750000000004</v>
      </c>
      <c r="F14" s="205">
        <f>AVERAGE(F6:F13)</f>
        <v>41.764018124181767</v>
      </c>
      <c r="G14" s="47"/>
      <c r="H14" s="47"/>
      <c r="I14" s="47"/>
      <c r="J14" s="47"/>
      <c r="K14" s="47"/>
      <c r="L14" s="47"/>
      <c r="M14" s="47"/>
      <c r="N14" s="2"/>
    </row>
    <row r="16" spans="1:14" ht="15.75">
      <c r="A16" s="209" t="s">
        <v>137</v>
      </c>
    </row>
    <row r="17" spans="1:1" ht="15.75">
      <c r="A17" s="209"/>
    </row>
  </sheetData>
  <mergeCells count="15">
    <mergeCell ref="A1:M1"/>
    <mergeCell ref="A3:M3"/>
    <mergeCell ref="L4:M4"/>
    <mergeCell ref="A6:A14"/>
    <mergeCell ref="B14:D14"/>
    <mergeCell ref="H4:H5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84" orientation="landscape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6"/>
  <sheetViews>
    <sheetView zoomScale="90" zoomScaleNormal="90" workbookViewId="0">
      <selection activeCell="C11" sqref="C11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387" t="s">
        <v>128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4" ht="10.5" customHeight="1"/>
    <row r="3" spans="1:14" ht="15.75" customHeight="1" thickBot="1">
      <c r="A3" s="388" t="s">
        <v>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</row>
    <row r="4" spans="1:14" s="1" customFormat="1" ht="25.5" customHeight="1">
      <c r="A4" s="396" t="s">
        <v>6</v>
      </c>
      <c r="B4" s="398" t="s">
        <v>7</v>
      </c>
      <c r="C4" s="394" t="s">
        <v>2</v>
      </c>
      <c r="D4" s="401" t="s">
        <v>5</v>
      </c>
      <c r="E4" s="403" t="s">
        <v>103</v>
      </c>
      <c r="F4" s="403" t="s">
        <v>91</v>
      </c>
      <c r="G4" s="394" t="s">
        <v>126</v>
      </c>
      <c r="H4" s="394" t="s">
        <v>172</v>
      </c>
      <c r="I4" s="394" t="s">
        <v>92</v>
      </c>
      <c r="J4" s="290" t="s">
        <v>14</v>
      </c>
      <c r="K4" s="290"/>
      <c r="L4" s="290" t="s">
        <v>131</v>
      </c>
      <c r="M4" s="390"/>
    </row>
    <row r="5" spans="1:14" s="1" customFormat="1" ht="22.5" customHeight="1" thickBot="1">
      <c r="A5" s="397"/>
      <c r="B5" s="399"/>
      <c r="C5" s="400"/>
      <c r="D5" s="402"/>
      <c r="E5" s="404"/>
      <c r="F5" s="404"/>
      <c r="G5" s="400"/>
      <c r="H5" s="395"/>
      <c r="I5" s="400"/>
      <c r="J5" s="69" t="s">
        <v>1</v>
      </c>
      <c r="K5" s="69" t="s">
        <v>0</v>
      </c>
      <c r="L5" s="189" t="s">
        <v>132</v>
      </c>
      <c r="M5" s="210" t="s">
        <v>133</v>
      </c>
    </row>
    <row r="6" spans="1:14" s="2" customFormat="1" ht="30" customHeight="1">
      <c r="A6" s="391" t="s">
        <v>20</v>
      </c>
      <c r="B6" s="70">
        <v>1</v>
      </c>
      <c r="C6" s="211" t="s">
        <v>34</v>
      </c>
      <c r="D6" s="212">
        <v>6</v>
      </c>
      <c r="E6" s="213">
        <v>40.880000000000003</v>
      </c>
      <c r="F6" s="214">
        <f>(41.22+41.19+41.44+41.86+41.33+41.22+41.33+40.97+41.05+41.04+41.04+41.71+41.19+41.22+41.08+41.1+41.08+41.29+41.37+41.23+41.09+41.13+41.2+41.02+40.88+41.11+41.1+41.36+41.49+41.23+41.17)/31</f>
        <v>41.217419354838711</v>
      </c>
      <c r="G6" s="211">
        <v>32</v>
      </c>
      <c r="H6" s="211">
        <f>G6-0</f>
        <v>32</v>
      </c>
      <c r="I6" s="215">
        <v>1.6469907407407405E-2</v>
      </c>
      <c r="J6" s="215">
        <f>I6</f>
        <v>1.6469907407407405E-2</v>
      </c>
      <c r="K6" s="216">
        <f>J6</f>
        <v>1.6469907407407405E-2</v>
      </c>
      <c r="L6" s="220">
        <f>F6-E6</f>
        <v>0.33741935483870833</v>
      </c>
      <c r="M6" s="218"/>
    </row>
    <row r="7" spans="1:14" s="2" customFormat="1" ht="30" customHeight="1">
      <c r="A7" s="392"/>
      <c r="B7" s="6">
        <v>2</v>
      </c>
      <c r="C7" s="8" t="s">
        <v>35</v>
      </c>
      <c r="D7" s="72">
        <v>2</v>
      </c>
      <c r="E7" s="206">
        <v>41.29</v>
      </c>
      <c r="F7" s="73">
        <f>(44.53+41.95+42.57+42.02+42.09+42.1+41.95+42.28+42.51+41.8+42.04+43.39+42.59+41.79+42.21+41.9+41.66+41.29+41.78+41.76+41.51+41.65+42.12+41.95+41.82+42.03+41.95+41.56+41.71+41.74+42.17+42.49+41.85+41.84+41.85+42.19+41.74+41.87+42.61+41.97+41.79+41.59+43.2+41.69+42.67+42.47+42.22+42.09+42.04+41.94+41.87+42.13+42.39+41.68+41.83+42.02+41.89+42.01+41.85+41.93+42.12+41.85+42.15+44.31+43.54+42.1)/66</f>
        <v>42.124242424242411</v>
      </c>
      <c r="G7" s="3">
        <v>100</v>
      </c>
      <c r="H7" s="3">
        <f>G7-G6</f>
        <v>68</v>
      </c>
      <c r="I7" s="63">
        <v>5.0092592592592598E-2</v>
      </c>
      <c r="J7" s="63">
        <f>I7-I6</f>
        <v>3.3622685185185193E-2</v>
      </c>
      <c r="K7" s="64">
        <f>J7</f>
        <v>3.3622685185185193E-2</v>
      </c>
      <c r="L7" s="186">
        <f t="shared" ref="L7:L13" si="0">F7-E7</f>
        <v>0.83424242424241157</v>
      </c>
      <c r="M7" s="194"/>
    </row>
    <row r="8" spans="1:14" s="2" customFormat="1" ht="30" customHeight="1">
      <c r="A8" s="392"/>
      <c r="B8" s="6">
        <v>3</v>
      </c>
      <c r="C8" s="3" t="s">
        <v>33</v>
      </c>
      <c r="D8" s="72">
        <v>11</v>
      </c>
      <c r="E8" s="206">
        <v>41.53</v>
      </c>
      <c r="F8" s="73">
        <f>(43.14+42.3+42.27+41.94+41.98+42.1+41.66+41.75+41.9+41.75+41.86+41.95+41.8+41.88+41.57+41.62+41.93+41.81+41.6+41.73+42.61+41.83+41.53+41.71+41.76+41.81+42.06+41.93+41.8+41.84)/30</f>
        <v>41.914000000000001</v>
      </c>
      <c r="G8" s="3">
        <v>131</v>
      </c>
      <c r="H8" s="3">
        <f t="shared" ref="H8:H12" si="1">G8-G7</f>
        <v>31</v>
      </c>
      <c r="I8" s="63">
        <v>6.5902777777777768E-2</v>
      </c>
      <c r="J8" s="63">
        <f>I8-I7</f>
        <v>1.581018518518517E-2</v>
      </c>
      <c r="K8" s="64">
        <f>J8</f>
        <v>1.581018518518517E-2</v>
      </c>
      <c r="L8" s="187">
        <f t="shared" si="0"/>
        <v>0.38400000000000034</v>
      </c>
      <c r="M8" s="194"/>
    </row>
    <row r="9" spans="1:14" s="2" customFormat="1" ht="30" customHeight="1">
      <c r="A9" s="392"/>
      <c r="B9" s="6">
        <v>4</v>
      </c>
      <c r="C9" s="3" t="s">
        <v>34</v>
      </c>
      <c r="D9" s="72">
        <v>21</v>
      </c>
      <c r="E9" s="206">
        <v>41.06</v>
      </c>
      <c r="F9" s="73">
        <f>(42.16+41.75+41.37+41.62+41.19+41.21+41.25+41.29+41.06+41.2+41.41+41.21+41.19+41.18+41.5+41.95+41.46+41.17+41.17+41.35+41.32+41.73+41.28+41.69+41.69+41.68+41.25+41.43+41.2+41.18+41.22+41.29+41.34+41.26+41.56+41.21+41.16+41.63+41.39+41.47+41.49+41.48+41.33+41.12+41.31+41.31+41.09)/47</f>
        <v>41.378723404255325</v>
      </c>
      <c r="G9" s="3">
        <v>180</v>
      </c>
      <c r="H9" s="3">
        <f t="shared" si="1"/>
        <v>49</v>
      </c>
      <c r="I9" s="63">
        <v>9.0162037037037027E-2</v>
      </c>
      <c r="J9" s="63">
        <f t="shared" ref="J9:J12" si="2">I9-I8</f>
        <v>2.4259259259259258E-2</v>
      </c>
      <c r="K9" s="67">
        <f>J9+K6</f>
        <v>4.0729166666666664E-2</v>
      </c>
      <c r="L9" s="186">
        <f t="shared" si="0"/>
        <v>0.31872340425532286</v>
      </c>
      <c r="M9" s="194"/>
    </row>
    <row r="10" spans="1:14" s="2" customFormat="1" ht="30" customHeight="1" thickBot="1">
      <c r="A10" s="392"/>
      <c r="B10" s="6">
        <v>5</v>
      </c>
      <c r="C10" s="3" t="s">
        <v>33</v>
      </c>
      <c r="D10" s="72">
        <v>6</v>
      </c>
      <c r="E10" s="206">
        <v>41.37</v>
      </c>
      <c r="F10" s="73">
        <f>(42.37+41.55+41.83+41.98+41.46+41.68+41.79+41.52+41.75+42.16+42+41.66+41.79+41.7+41.49+42.87+41.92+41.53+41.63+41.57+41.87+41.83+41.61+41.87+41.53+41.55+41.57+41.49+41.37)/29</f>
        <v>41.756551724137928</v>
      </c>
      <c r="G10" s="3">
        <v>210</v>
      </c>
      <c r="H10" s="3">
        <f t="shared" si="1"/>
        <v>30</v>
      </c>
      <c r="I10" s="63">
        <v>0.10540509259259261</v>
      </c>
      <c r="J10" s="63">
        <f t="shared" si="2"/>
        <v>1.5243055555555579E-2</v>
      </c>
      <c r="K10" s="67">
        <f>J10+K8</f>
        <v>3.1053240740740749E-2</v>
      </c>
      <c r="L10" s="186">
        <f t="shared" si="0"/>
        <v>0.38655172413793082</v>
      </c>
      <c r="M10" s="194"/>
    </row>
    <row r="11" spans="1:14" s="2" customFormat="1" ht="30" customHeight="1" thickBot="1">
      <c r="A11" s="392"/>
      <c r="B11" s="6">
        <v>6</v>
      </c>
      <c r="C11" s="3" t="s">
        <v>35</v>
      </c>
      <c r="D11" s="72">
        <v>13</v>
      </c>
      <c r="E11" s="203">
        <v>41.22</v>
      </c>
      <c r="F11" s="73">
        <f>(42.95+42.14+42.14+41.76+41.55+41.48+41.78+41.42+41.53+41.49+41.58+41.5+41.67+41.64+41.36+41.53+41.34+41.39+41.86+41.4+42.1+41.49+41.36+42.16+42+42.18+42.24+42.2+41.48+41.93+41.22+41.24+41.42+41.59+41.41+41.86+41.56+41.37+42.33+41.47+41.42)/41</f>
        <v>41.696097560975609</v>
      </c>
      <c r="G11" s="3">
        <v>252</v>
      </c>
      <c r="H11" s="3">
        <f t="shared" si="1"/>
        <v>42</v>
      </c>
      <c r="I11" s="63">
        <v>0.12648148148148147</v>
      </c>
      <c r="J11" s="63">
        <f t="shared" si="2"/>
        <v>2.1076388888888867E-2</v>
      </c>
      <c r="K11" s="65">
        <f>J11+K7</f>
        <v>5.469907407407406E-2</v>
      </c>
      <c r="L11" s="186">
        <f t="shared" si="0"/>
        <v>0.47609756097561018</v>
      </c>
      <c r="M11" s="200">
        <f>AVERAGE(L11,L7)</f>
        <v>0.65516999260901088</v>
      </c>
      <c r="N11" s="2" t="s">
        <v>142</v>
      </c>
    </row>
    <row r="12" spans="1:14" s="2" customFormat="1" ht="30" customHeight="1" thickBot="1">
      <c r="A12" s="392"/>
      <c r="B12" s="6">
        <v>7</v>
      </c>
      <c r="C12" s="3" t="s">
        <v>33</v>
      </c>
      <c r="D12" s="72">
        <v>15</v>
      </c>
      <c r="E12" s="203">
        <v>41.2</v>
      </c>
      <c r="F12" s="73">
        <f>(42.64+42.16+41.81+41.77+41.75+41.64+41.93+41.83+41.82+41.69+42.54+41.87+41.72+41.39+41.62+41.77+42.01+41.9+41.65+42.33+41.59+42.64+42.12+42.55+41.93+41.64+41.61+41.87+41.81+41.44+41.73+41.78+42.3+41.31+41.34+41.52+41.57+42.48+41.54+41.2+41.52+41.52+41.52+41.97+41.73+42.08+41.71+41.3+41.58+42.1+42+41.79)/52</f>
        <v>41.819807692307677</v>
      </c>
      <c r="G12" s="3">
        <v>306</v>
      </c>
      <c r="H12" s="3">
        <f t="shared" si="1"/>
        <v>54</v>
      </c>
      <c r="I12" s="63">
        <v>0.15491898148148148</v>
      </c>
      <c r="J12" s="63">
        <f t="shared" si="2"/>
        <v>2.8437500000000004E-2</v>
      </c>
      <c r="K12" s="66">
        <f>J12+K10</f>
        <v>5.9490740740740754E-2</v>
      </c>
      <c r="L12" s="186">
        <f t="shared" si="0"/>
        <v>0.61980769230767407</v>
      </c>
      <c r="M12" s="200">
        <f>AVERAGE(L8,L10,L12)</f>
        <v>0.46345313881520173</v>
      </c>
      <c r="N12" s="2" t="s">
        <v>143</v>
      </c>
    </row>
    <row r="13" spans="1:14" s="2" customFormat="1" ht="30" customHeight="1" thickBot="1">
      <c r="A13" s="392"/>
      <c r="B13" s="71" t="s">
        <v>13</v>
      </c>
      <c r="C13" s="195" t="s">
        <v>34</v>
      </c>
      <c r="D13" s="195">
        <v>13</v>
      </c>
      <c r="E13" s="203">
        <v>40.89</v>
      </c>
      <c r="F13" s="196">
        <f>(41.96+41.2+41.32+41.23+41.13+41.22+41.2+41.08+41.09+41.18+41.81+41.04+40.97+40.99+41+41.26+40.89+41.13+41.07+41.01+41.25+40.92+41.01+41.17+41.1+41.04)/26</f>
        <v>41.164230769230763</v>
      </c>
      <c r="G13" s="195">
        <v>333</v>
      </c>
      <c r="H13" s="195">
        <f>G13-G12</f>
        <v>27</v>
      </c>
      <c r="I13" s="197">
        <v>0.1673611111111111</v>
      </c>
      <c r="J13" s="197">
        <f>I13-I12</f>
        <v>1.2442129629629622E-2</v>
      </c>
      <c r="K13" s="198">
        <f>J13+K9</f>
        <v>5.3171296296296286E-2</v>
      </c>
      <c r="L13" s="221">
        <f t="shared" si="0"/>
        <v>0.27423076923076195</v>
      </c>
      <c r="M13" s="201">
        <f>AVERAGE(L6,L9,L13)</f>
        <v>0.3101245094415977</v>
      </c>
      <c r="N13" s="2" t="s">
        <v>144</v>
      </c>
    </row>
    <row r="14" spans="1:14" ht="28.5" customHeight="1" thickBot="1">
      <c r="A14" s="393"/>
      <c r="B14" s="385" t="s">
        <v>127</v>
      </c>
      <c r="C14" s="386"/>
      <c r="D14" s="386"/>
      <c r="E14" s="204">
        <f>AVERAGE(E6:E13)</f>
        <v>41.18</v>
      </c>
      <c r="F14" s="205">
        <f>AVERAGE(F6:F13)</f>
        <v>41.633884116248552</v>
      </c>
      <c r="G14" s="47"/>
      <c r="H14" s="47"/>
      <c r="I14" s="47"/>
      <c r="J14" s="47"/>
      <c r="K14" s="47"/>
      <c r="L14" s="47"/>
      <c r="M14" s="47"/>
      <c r="N14" s="2"/>
    </row>
    <row r="16" spans="1:14" ht="15.75">
      <c r="A16" s="209" t="s">
        <v>179</v>
      </c>
    </row>
  </sheetData>
  <mergeCells count="15">
    <mergeCell ref="A1:M1"/>
    <mergeCell ref="A3:M3"/>
    <mergeCell ref="L4:M4"/>
    <mergeCell ref="A6:A14"/>
    <mergeCell ref="B14:D14"/>
    <mergeCell ref="H4:H5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84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8"/>
  <sheetViews>
    <sheetView zoomScale="90" zoomScaleNormal="90" workbookViewId="0">
      <selection activeCell="J12" sqref="J12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20" ht="19.5">
      <c r="A1" s="387" t="s">
        <v>128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20" ht="10.5" customHeight="1"/>
    <row r="3" spans="1:20" ht="15.75" customHeight="1" thickBot="1">
      <c r="A3" s="388" t="s">
        <v>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</row>
    <row r="4" spans="1:20" s="1" customFormat="1" ht="25.5" customHeight="1">
      <c r="A4" s="396" t="s">
        <v>6</v>
      </c>
      <c r="B4" s="398" t="s">
        <v>7</v>
      </c>
      <c r="C4" s="394" t="s">
        <v>2</v>
      </c>
      <c r="D4" s="401" t="s">
        <v>5</v>
      </c>
      <c r="E4" s="403" t="s">
        <v>103</v>
      </c>
      <c r="F4" s="403" t="s">
        <v>91</v>
      </c>
      <c r="G4" s="394" t="s">
        <v>126</v>
      </c>
      <c r="H4" s="394" t="s">
        <v>172</v>
      </c>
      <c r="I4" s="394" t="s">
        <v>92</v>
      </c>
      <c r="J4" s="290" t="s">
        <v>14</v>
      </c>
      <c r="K4" s="290"/>
      <c r="L4" s="290" t="s">
        <v>131</v>
      </c>
      <c r="M4" s="390"/>
    </row>
    <row r="5" spans="1:20" s="1" customFormat="1" ht="22.5" customHeight="1" thickBot="1">
      <c r="A5" s="397"/>
      <c r="B5" s="399"/>
      <c r="C5" s="400"/>
      <c r="D5" s="402"/>
      <c r="E5" s="404"/>
      <c r="F5" s="404"/>
      <c r="G5" s="400"/>
      <c r="H5" s="395"/>
      <c r="I5" s="400"/>
      <c r="J5" s="69" t="s">
        <v>1</v>
      </c>
      <c r="K5" s="69" t="s">
        <v>0</v>
      </c>
      <c r="L5" s="189" t="s">
        <v>132</v>
      </c>
      <c r="M5" s="210" t="s">
        <v>133</v>
      </c>
    </row>
    <row r="6" spans="1:20" s="2" customFormat="1" ht="30" customHeight="1">
      <c r="A6" s="391" t="s">
        <v>17</v>
      </c>
      <c r="B6" s="70">
        <v>1</v>
      </c>
      <c r="C6" s="211" t="s">
        <v>28</v>
      </c>
      <c r="D6" s="212">
        <v>2</v>
      </c>
      <c r="E6" s="213">
        <v>40.79</v>
      </c>
      <c r="F6" s="214">
        <f>(41.14+40.94+41.07+41.43+40.85+40.96+40.79+41.02+40.87+41.56+41.03+41.02+40.84+40.98+40.87+42.26+41.51+40.95+40.89+40.95)/20</f>
        <v>41.096500000000006</v>
      </c>
      <c r="G6" s="211">
        <v>21</v>
      </c>
      <c r="H6" s="211">
        <f>G6-0</f>
        <v>21</v>
      </c>
      <c r="I6" s="215">
        <v>1.1180555555555556E-2</v>
      </c>
      <c r="J6" s="215">
        <f>I6</f>
        <v>1.1180555555555556E-2</v>
      </c>
      <c r="K6" s="216">
        <f>J6</f>
        <v>1.1180555555555556E-2</v>
      </c>
      <c r="L6" s="217">
        <f>F6-E6</f>
        <v>0.30650000000000688</v>
      </c>
      <c r="M6" s="218"/>
    </row>
    <row r="7" spans="1:20" s="2" customFormat="1" ht="30" customHeight="1" thickBot="1">
      <c r="A7" s="392"/>
      <c r="B7" s="6">
        <v>2</v>
      </c>
      <c r="C7" s="8" t="s">
        <v>27</v>
      </c>
      <c r="D7" s="3">
        <v>9</v>
      </c>
      <c r="E7" s="75">
        <v>41.06</v>
      </c>
      <c r="F7" s="62">
        <f>(42.32+41.68+41.82+41.65+41.38+41.47+41.46+41.4+41.81+41.64+41.77+41.72+41.22+41.23+41.29+41.37+41.22+41.35+42.61+41.38+41.51+41.6+41.44+41.2+41.47+41.36+41.06+41.18+41.22+41.7+41.16+41.4+41.32+41.32+41.18+41.34+41.38+41.21+42.18+41.57+41.52+41.35+41.47+43.71+41.75)/45</f>
        <v>41.542000000000002</v>
      </c>
      <c r="G7" s="3">
        <v>68</v>
      </c>
      <c r="H7" s="3">
        <f>G7-G6</f>
        <v>47</v>
      </c>
      <c r="I7" s="63">
        <v>3.4097222222222223E-2</v>
      </c>
      <c r="J7" s="63">
        <f>I7-I6</f>
        <v>2.2916666666666669E-2</v>
      </c>
      <c r="K7" s="64">
        <f>J7</f>
        <v>2.2916666666666669E-2</v>
      </c>
      <c r="L7" s="186">
        <f t="shared" ref="L7:L13" si="0">F7-E7</f>
        <v>0.48199999999999932</v>
      </c>
      <c r="M7" s="194"/>
    </row>
    <row r="8" spans="1:20" s="2" customFormat="1" ht="30" customHeight="1" thickBot="1">
      <c r="A8" s="392"/>
      <c r="B8" s="6">
        <v>3</v>
      </c>
      <c r="C8" s="3" t="s">
        <v>28</v>
      </c>
      <c r="D8" s="3">
        <v>1</v>
      </c>
      <c r="E8" s="203">
        <v>40.69</v>
      </c>
      <c r="F8" s="62">
        <f>(41.88+41.1+41.05+41.4+41.03+41.08+40.87+41.13+41.05+40.89+41.13+40.86+40.77+40.81+40.75+40.69+40.82+40.94+41.72+42.56+43.72+41.86+41.86+42.56+42.74+41.92+41.57+41.7)/28</f>
        <v>41.445</v>
      </c>
      <c r="G8" s="3">
        <v>100</v>
      </c>
      <c r="H8" s="3">
        <f t="shared" ref="H8:H12" si="1">G8-G7</f>
        <v>32</v>
      </c>
      <c r="I8" s="63">
        <v>5.1701388888888887E-2</v>
      </c>
      <c r="J8" s="63">
        <f>I8-I7</f>
        <v>1.7604166666666664E-2</v>
      </c>
      <c r="K8" s="64">
        <f>J8+J6</f>
        <v>2.8784722222222218E-2</v>
      </c>
      <c r="L8" s="187">
        <f t="shared" si="0"/>
        <v>0.75500000000000256</v>
      </c>
      <c r="M8" s="194"/>
    </row>
    <row r="9" spans="1:20" s="2" customFormat="1" ht="30" customHeight="1">
      <c r="A9" s="392"/>
      <c r="B9" s="6">
        <v>4</v>
      </c>
      <c r="C9" s="3" t="s">
        <v>27</v>
      </c>
      <c r="D9" s="72">
        <v>2</v>
      </c>
      <c r="E9" s="7">
        <v>41.56</v>
      </c>
      <c r="F9" s="73">
        <f>(42.6+41.87+41.95+41.74+41.92+41.73+41.71+41.83+41.67+42.41+41.77+41.7+41.73+41.79+41.73+41.78+41.6+41.9+41.93+41.72+41.63+41.68+41.81+41.56+41.61+41.72+41.9+41.9+42.09+41.73+41.82+42.01+42.08+42.38+42.73+42.12+42.28+42.17+41.95+42.02+41.85+41.99+41.99+42.29+41.93+43.38+42.33+42.14+42.24+42.34)/50</f>
        <v>41.975000000000001</v>
      </c>
      <c r="G9" s="3">
        <v>151</v>
      </c>
      <c r="H9" s="3">
        <f t="shared" si="1"/>
        <v>51</v>
      </c>
      <c r="I9" s="63">
        <v>7.7268518518518514E-2</v>
      </c>
      <c r="J9" s="63">
        <f t="shared" ref="J9:J12" si="2">I9-I8</f>
        <v>2.5567129629629627E-2</v>
      </c>
      <c r="K9" s="67">
        <f>J9+J7</f>
        <v>4.8483796296296296E-2</v>
      </c>
      <c r="L9" s="186">
        <f t="shared" si="0"/>
        <v>0.41499999999999915</v>
      </c>
      <c r="M9" s="194"/>
    </row>
    <row r="10" spans="1:20" s="2" customFormat="1" ht="30" customHeight="1" thickBot="1">
      <c r="A10" s="392"/>
      <c r="B10" s="6">
        <v>5</v>
      </c>
      <c r="C10" s="3" t="s">
        <v>28</v>
      </c>
      <c r="D10" s="72">
        <v>4</v>
      </c>
      <c r="E10" s="206">
        <v>41.51</v>
      </c>
      <c r="F10" s="73">
        <f>(42.61+41.92+42.07+41.89+41.89+41.79+42.07+42.05+41.79+42.02+41.87+41.88+41.88+42.07+41.77+41.92+41.66+41.67+41.81+41.76+41.77+41.71+41.64+42.34+42+41.51+41.82+41.78+41.6+41.79+41.83+41.67+41.75+41.73+41.67+41.65+42.19+41.67+41.73+41.81+41.87+41.73+41.65+41.85+41.83+41.8+41.85+41.98+41.75+41.79+41.82+42.01+41.65+41.7+41.82)/55</f>
        <v>41.839090909090913</v>
      </c>
      <c r="G10" s="3">
        <v>207</v>
      </c>
      <c r="H10" s="3">
        <f t="shared" si="1"/>
        <v>56</v>
      </c>
      <c r="I10" s="63">
        <v>0.10515046296296297</v>
      </c>
      <c r="J10" s="63">
        <f t="shared" si="2"/>
        <v>2.7881944444444459E-2</v>
      </c>
      <c r="K10" s="67">
        <f>J10+K8</f>
        <v>5.6666666666666678E-2</v>
      </c>
      <c r="L10" s="186">
        <f t="shared" si="0"/>
        <v>0.32909090909091532</v>
      </c>
      <c r="M10" s="194"/>
    </row>
    <row r="11" spans="1:20" s="2" customFormat="1" ht="30" customHeight="1" thickBot="1">
      <c r="A11" s="392"/>
      <c r="B11" s="6">
        <v>6</v>
      </c>
      <c r="C11" s="3" t="s">
        <v>27</v>
      </c>
      <c r="D11" s="72">
        <v>1</v>
      </c>
      <c r="E11" s="203">
        <v>41.06</v>
      </c>
      <c r="F11" s="73">
        <f>(42.37+42.62+42.19+41.67+41.35+41.7+41.46+41.46+41.61+41.63+41.47+41.45+42.18+41.32+41.46+41.64+41.22+41.33+41.53+41.46+41.29+41.06+41.32+41.19+41.13+41.1+41.25+41.51+41.39+41.18+41.57+41.71+41.8+41.79+41.97+41.39+41.87+41.78+42.03+41.61+42.82+43.78+43.17+42.57+43.24+42.47)/46</f>
        <v>41.763260869565215</v>
      </c>
      <c r="G11" s="3">
        <v>255</v>
      </c>
      <c r="H11" s="3">
        <f t="shared" si="1"/>
        <v>48</v>
      </c>
      <c r="I11" s="63">
        <v>0.12982638888888889</v>
      </c>
      <c r="J11" s="63">
        <f t="shared" si="2"/>
        <v>2.4675925925925921E-2</v>
      </c>
      <c r="K11" s="67">
        <f>J11+K9</f>
        <v>7.3159722222222223E-2</v>
      </c>
      <c r="L11" s="186">
        <f t="shared" si="0"/>
        <v>0.70326086956521294</v>
      </c>
      <c r="M11" s="194"/>
      <c r="O11" s="208"/>
      <c r="P11" s="208"/>
      <c r="Q11" s="208"/>
      <c r="R11" s="208"/>
      <c r="S11" s="208"/>
      <c r="T11" s="208"/>
    </row>
    <row r="12" spans="1:20" s="2" customFormat="1" ht="30" customHeight="1">
      <c r="A12" s="392"/>
      <c r="B12" s="6">
        <v>7</v>
      </c>
      <c r="C12" s="3" t="s">
        <v>28</v>
      </c>
      <c r="D12" s="72">
        <v>21</v>
      </c>
      <c r="E12" s="74">
        <v>40.94</v>
      </c>
      <c r="F12" s="73">
        <f>(41.92+41.37+41.79+41.32+41.4+41.42+41.55+41.4+41.24+41.16+41.43+41.77+41.43+41.96+41.27+41.43+41.32+41.37+41.42+41.36+41.3+41.38+41.3+41.38+41.56+41.29+41.31+40.94+41.6+41.33+41.44+41.48+41.55+41.59+41.4+41.28+41.3+41.31+41.21+41.18+41.41+41.35+41.73+41.18+41.14+42.07+41.74+41.42+41.4+41.4+41.37)/51</f>
        <v>41.424901960784304</v>
      </c>
      <c r="G12" s="3">
        <v>308</v>
      </c>
      <c r="H12" s="3">
        <f t="shared" si="1"/>
        <v>53</v>
      </c>
      <c r="I12" s="63">
        <v>0.15623842592592593</v>
      </c>
      <c r="J12" s="63">
        <f t="shared" si="2"/>
        <v>2.6412037037037039E-2</v>
      </c>
      <c r="K12" s="65">
        <f>J12+K10</f>
        <v>8.307870370370371E-2</v>
      </c>
      <c r="L12" s="186">
        <f t="shared" si="0"/>
        <v>0.48490196078430614</v>
      </c>
      <c r="M12" s="200">
        <f>AVERAGE(L6,L8,L10,L12)</f>
        <v>0.46887321746880772</v>
      </c>
      <c r="N12" s="2" t="s">
        <v>140</v>
      </c>
    </row>
    <row r="13" spans="1:20" s="2" customFormat="1" ht="30" customHeight="1" thickBot="1">
      <c r="A13" s="392"/>
      <c r="B13" s="71" t="s">
        <v>13</v>
      </c>
      <c r="C13" s="195" t="s">
        <v>27</v>
      </c>
      <c r="D13" s="195">
        <v>2</v>
      </c>
      <c r="E13" s="195">
        <v>41.73</v>
      </c>
      <c r="F13" s="196">
        <f>(42.47+42.1+42.24+41.86+41.79+42+41.98+41.84+41.86+41.73+41.79+41.78+41.21+41.98+42.08+42.09+42.18+42.2+42.14+42.41+42.13+42.62+42.8)/23</f>
        <v>42.055652173913046</v>
      </c>
      <c r="G13" s="195">
        <v>332</v>
      </c>
      <c r="H13" s="195">
        <f>G13-G12</f>
        <v>24</v>
      </c>
      <c r="I13" s="197">
        <v>0.1673611111111111</v>
      </c>
      <c r="J13" s="197">
        <f>I13-I12</f>
        <v>1.1122685185185166E-2</v>
      </c>
      <c r="K13" s="219">
        <f>J13+K11</f>
        <v>8.4282407407407389E-2</v>
      </c>
      <c r="L13" s="199">
        <f t="shared" si="0"/>
        <v>0.32565217391304913</v>
      </c>
      <c r="M13" s="201">
        <f>AVERAGE(L7,L9,L11,L13)</f>
        <v>0.48147826086956513</v>
      </c>
      <c r="N13" s="2" t="s">
        <v>141</v>
      </c>
    </row>
    <row r="14" spans="1:20" ht="28.5" customHeight="1" thickBot="1">
      <c r="A14" s="393"/>
      <c r="B14" s="385" t="s">
        <v>127</v>
      </c>
      <c r="C14" s="386"/>
      <c r="D14" s="386"/>
      <c r="E14" s="204">
        <f>AVERAGE(E6:E13)</f>
        <v>41.167500000000004</v>
      </c>
      <c r="F14" s="205">
        <f>AVERAGE(F6:F13)</f>
        <v>41.642675739169192</v>
      </c>
      <c r="G14" s="47"/>
      <c r="H14" s="47"/>
      <c r="I14" s="47"/>
      <c r="J14" s="47"/>
      <c r="K14" s="47"/>
      <c r="L14" s="47"/>
      <c r="M14" s="47"/>
      <c r="N14" s="2"/>
    </row>
    <row r="16" spans="1:20" ht="15.75">
      <c r="A16" s="209" t="s">
        <v>136</v>
      </c>
    </row>
    <row r="17" spans="1:1" ht="15.75">
      <c r="A17" s="209" t="s">
        <v>146</v>
      </c>
    </row>
    <row r="18" spans="1:1" ht="15.75">
      <c r="A18" s="209"/>
    </row>
  </sheetData>
  <mergeCells count="15">
    <mergeCell ref="A6:A14"/>
    <mergeCell ref="B14:D14"/>
    <mergeCell ref="A1:M1"/>
    <mergeCell ref="A3:M3"/>
    <mergeCell ref="H4:H5"/>
    <mergeCell ref="J4:K4"/>
    <mergeCell ref="A4:A5"/>
    <mergeCell ref="B4:B5"/>
    <mergeCell ref="C4:C5"/>
    <mergeCell ref="D4:D5"/>
    <mergeCell ref="E4:E5"/>
    <mergeCell ref="F4:F5"/>
    <mergeCell ref="G4:G5"/>
    <mergeCell ref="I4:I5"/>
    <mergeCell ref="L4:M4"/>
  </mergeCells>
  <pageMargins left="0.31496062992125984" right="0.31496062992125984" top="0.55118110236220474" bottom="0.11811023622047245" header="0.31496062992125984" footer="0.31496062992125984"/>
  <pageSetup paperSize="9" scale="84" orientation="landscape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zoomScale="90" zoomScaleNormal="90" workbookViewId="0">
      <selection activeCell="K13" sqref="K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20" ht="19.5">
      <c r="A1" s="387" t="s">
        <v>128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20" ht="10.5" customHeight="1"/>
    <row r="3" spans="1:20" ht="15.75" customHeight="1" thickBot="1">
      <c r="A3" s="388" t="s">
        <v>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</row>
    <row r="4" spans="1:20" s="1" customFormat="1" ht="25.5" customHeight="1">
      <c r="A4" s="396" t="s">
        <v>6</v>
      </c>
      <c r="B4" s="398" t="s">
        <v>7</v>
      </c>
      <c r="C4" s="394" t="s">
        <v>2</v>
      </c>
      <c r="D4" s="401" t="s">
        <v>5</v>
      </c>
      <c r="E4" s="403" t="s">
        <v>103</v>
      </c>
      <c r="F4" s="403" t="s">
        <v>91</v>
      </c>
      <c r="G4" s="394" t="s">
        <v>126</v>
      </c>
      <c r="H4" s="394" t="s">
        <v>172</v>
      </c>
      <c r="I4" s="394" t="s">
        <v>92</v>
      </c>
      <c r="J4" s="290" t="s">
        <v>14</v>
      </c>
      <c r="K4" s="290"/>
      <c r="L4" s="290" t="s">
        <v>131</v>
      </c>
      <c r="M4" s="390"/>
    </row>
    <row r="5" spans="1:20" s="1" customFormat="1" ht="22.5" customHeight="1" thickBot="1">
      <c r="A5" s="397"/>
      <c r="B5" s="399"/>
      <c r="C5" s="400"/>
      <c r="D5" s="402"/>
      <c r="E5" s="404"/>
      <c r="F5" s="404"/>
      <c r="G5" s="400"/>
      <c r="H5" s="395"/>
      <c r="I5" s="400"/>
      <c r="J5" s="69" t="s">
        <v>1</v>
      </c>
      <c r="K5" s="69" t="s">
        <v>0</v>
      </c>
      <c r="L5" s="189" t="s">
        <v>132</v>
      </c>
      <c r="M5" s="210" t="s">
        <v>133</v>
      </c>
    </row>
    <row r="6" spans="1:20" s="2" customFormat="1" ht="30" customHeight="1">
      <c r="A6" s="391" t="s">
        <v>95</v>
      </c>
      <c r="B6" s="70">
        <v>1</v>
      </c>
      <c r="C6" s="211" t="s">
        <v>39</v>
      </c>
      <c r="D6" s="212">
        <v>14</v>
      </c>
      <c r="E6" s="213">
        <v>41.48</v>
      </c>
      <c r="F6" s="214">
        <f>(44.07+42.9+42.25+41.95+41.86+41.59+41.63+41.86+41.69+41.77+41.61+41.56+41.5+41.53+41.68+41.69+41.96+43.08+41.79+41.61+41.6+41.53+41.74+41.69+41.99+41.76+41.48+41.86+42.91+42.23+42.18+41.58+41.72+41.77+42.03+41.97)/36</f>
        <v>41.933888888888887</v>
      </c>
      <c r="G6" s="211">
        <v>37</v>
      </c>
      <c r="H6" s="211">
        <f>G6-0</f>
        <v>37</v>
      </c>
      <c r="I6" s="215">
        <v>1.9178240740740742E-2</v>
      </c>
      <c r="J6" s="215">
        <f>I6</f>
        <v>1.9178240740740742E-2</v>
      </c>
      <c r="K6" s="216">
        <f>J6</f>
        <v>1.9178240740740742E-2</v>
      </c>
      <c r="L6" s="220">
        <f>F6-E6</f>
        <v>0.45388888888889056</v>
      </c>
      <c r="M6" s="218"/>
    </row>
    <row r="7" spans="1:20" s="2" customFormat="1" ht="30" customHeight="1" thickBot="1">
      <c r="A7" s="392"/>
      <c r="B7" s="6">
        <v>2</v>
      </c>
      <c r="C7" s="8" t="s">
        <v>40</v>
      </c>
      <c r="D7" s="3">
        <v>6</v>
      </c>
      <c r="E7" s="75">
        <v>41.54</v>
      </c>
      <c r="F7" s="62">
        <f>(44.05+42.48+42.17+42.19+41.95+42.04+42.01+42.7+42.01+41.98+41.82+41.86+41.93+41.98+41.93+41.89+41.89+41.89+41.86+41.67+41.72+41.66+42.04+41.78+41.54+42.02+42.34+42.06+42.02+41.88+42.22+41.85+41.78+41.7+41.99+42.23+43.59+41.93+41.83+41.88+41.99+42.04+41.84+41.93+42.61+42.18+42.41+42.13+42.18+42.09+43.27+41.88+41.89+42.36+42.73)/55</f>
        <v>42.107090909090907</v>
      </c>
      <c r="G7" s="3">
        <v>97</v>
      </c>
      <c r="H7" s="3">
        <f>G7-G6</f>
        <v>60</v>
      </c>
      <c r="I7" s="63">
        <v>4.8506944444444443E-2</v>
      </c>
      <c r="J7" s="63">
        <f>I7-I6</f>
        <v>2.9328703703703701E-2</v>
      </c>
      <c r="K7" s="64">
        <f>J7</f>
        <v>2.9328703703703701E-2</v>
      </c>
      <c r="L7" s="186">
        <f t="shared" ref="L7:L13" si="0">F7-E7</f>
        <v>0.56709090909090776</v>
      </c>
      <c r="M7" s="194"/>
    </row>
    <row r="8" spans="1:20" s="2" customFormat="1" ht="30" customHeight="1" thickBot="1">
      <c r="A8" s="392"/>
      <c r="B8" s="6">
        <v>3</v>
      </c>
      <c r="C8" s="3" t="s">
        <v>39</v>
      </c>
      <c r="D8" s="3">
        <v>9</v>
      </c>
      <c r="E8" s="203">
        <v>41.11</v>
      </c>
      <c r="F8" s="62">
        <f>(43.42+41.59+41.76+41.8+41.74+42.46+41.4+41.3+41.39+41.58+41.14+41.4+41.54+41.26+41.3+42.34+41.27+41.11+41.57+41.25+41.17+41.43+41.23+41.53+41.37+41.34+41.51+41.39+41.46+41.7+41.58+41.34+41.85+41.55+41.66+41.53+41.52+41.89+41.91+41.67+41.57+41.53+41.68+41.66+41.78+41.24+41.36+41.29+41.66+41.56+42.41+41.83+42.02+41.62+42.08+41.66+41.59+42.13+41.68+42.62+41.96+41.74+41.93+41.89+42.12+42.14+41.93)/67</f>
        <v>41.670597014925349</v>
      </c>
      <c r="G8" s="3">
        <v>163</v>
      </c>
      <c r="H8" s="3">
        <f t="shared" ref="H8:H12" si="1">G8-G7</f>
        <v>66</v>
      </c>
      <c r="I8" s="63">
        <v>8.2210648148148144E-2</v>
      </c>
      <c r="J8" s="63">
        <f>I8-I7</f>
        <v>3.3703703703703701E-2</v>
      </c>
      <c r="K8" s="64">
        <f>J8+J6</f>
        <v>5.288194444444444E-2</v>
      </c>
      <c r="L8" s="187">
        <f t="shared" si="0"/>
        <v>0.56059701492534941</v>
      </c>
      <c r="M8" s="194"/>
    </row>
    <row r="9" spans="1:20" s="2" customFormat="1" ht="30" customHeight="1" thickBot="1">
      <c r="A9" s="392"/>
      <c r="B9" s="6">
        <v>4</v>
      </c>
      <c r="C9" s="3" t="s">
        <v>40</v>
      </c>
      <c r="D9" s="72">
        <v>5</v>
      </c>
      <c r="E9" s="3">
        <v>41.53</v>
      </c>
      <c r="F9" s="73">
        <f>(43.06+42+42.3+42.56+42.42+42.23+42.1+43+42.03+41.91+42+42.02+41.89+41.92+41.53+41.88+41.98+41.83+41.86+41.7+41.94+42.15+42.98+41.86+41.81+42.28+41.72+41.81+41.83+41.99+41.88+41.91+41.98+41.02+42.11+41.83+41.97+42.2+41.85+41.88+41.95+42.04+42.03+42.87+42.03)/45</f>
        <v>42.047555555555554</v>
      </c>
      <c r="G9" s="3">
        <v>209</v>
      </c>
      <c r="H9" s="3">
        <f t="shared" si="1"/>
        <v>46</v>
      </c>
      <c r="I9" s="63">
        <v>0.10532407407407407</v>
      </c>
      <c r="J9" s="63">
        <f t="shared" ref="J9:J12" si="2">I9-I8</f>
        <v>2.3113425925925926E-2</v>
      </c>
      <c r="K9" s="67">
        <f>J9+J7</f>
        <v>5.244212962962963E-2</v>
      </c>
      <c r="L9" s="186">
        <f t="shared" si="0"/>
        <v>0.51755555555555333</v>
      </c>
      <c r="M9" s="194"/>
    </row>
    <row r="10" spans="1:20" s="2" customFormat="1" ht="30" customHeight="1" thickBot="1">
      <c r="A10" s="392"/>
      <c r="B10" s="6">
        <v>5</v>
      </c>
      <c r="C10" s="3" t="s">
        <v>40</v>
      </c>
      <c r="D10" s="3">
        <v>21</v>
      </c>
      <c r="E10" s="203">
        <v>41.41</v>
      </c>
      <c r="F10" s="62">
        <f>(42.84+41.97+41.91+41.86+41.98+41.81+41.79+41.66+41.88+41.7+42.36+41.62+41.44+41.67+41.55+41.65+41.41+42.25+41.86+41.61+41.79+41.55+41.64+42.18+41.48+41.62+41.73+41.62+41.56+41.65+41.65+41.55+41.58+41.52+41.58+42.44+41.73+41.73+41.49+41.69+41.84)/41</f>
        <v>41.766829268292668</v>
      </c>
      <c r="G10" s="3">
        <v>251</v>
      </c>
      <c r="H10" s="3">
        <f t="shared" si="1"/>
        <v>42</v>
      </c>
      <c r="I10" s="63">
        <v>0.12636574074074072</v>
      </c>
      <c r="J10" s="63">
        <f t="shared" si="2"/>
        <v>2.1041666666666653E-2</v>
      </c>
      <c r="K10" s="67">
        <f>J10+K9</f>
        <v>7.3483796296296283E-2</v>
      </c>
      <c r="L10" s="188">
        <f t="shared" si="0"/>
        <v>0.35682926829267103</v>
      </c>
      <c r="M10" s="194"/>
    </row>
    <row r="11" spans="1:20" s="2" customFormat="1" ht="30" customHeight="1">
      <c r="A11" s="392"/>
      <c r="B11" s="6">
        <v>6</v>
      </c>
      <c r="C11" s="3" t="s">
        <v>39</v>
      </c>
      <c r="D11" s="72">
        <v>10</v>
      </c>
      <c r="E11" s="207">
        <v>41.76</v>
      </c>
      <c r="F11" s="73">
        <f>(43.64+42.31+42.14+42.27+42.55+42.42+41.91+42.28+42.03+42.37+42.03+41.99+41.78+42.34+42.51+41.88+42.14+42.06+42.18+41.9+42.1+41.91+42.4+41.88+41.76+42.63+42.11)/27</f>
        <v>42.204444444444434</v>
      </c>
      <c r="G11" s="3">
        <v>279</v>
      </c>
      <c r="H11" s="3">
        <f t="shared" si="1"/>
        <v>28</v>
      </c>
      <c r="I11" s="63">
        <v>0.14078703703703704</v>
      </c>
      <c r="J11" s="63">
        <f t="shared" si="2"/>
        <v>1.4421296296296321E-2</v>
      </c>
      <c r="K11" s="67">
        <f>J11+K8</f>
        <v>6.7303240740740761E-2</v>
      </c>
      <c r="L11" s="186">
        <f t="shared" si="0"/>
        <v>0.44444444444443576</v>
      </c>
      <c r="M11" s="194"/>
      <c r="O11" s="76"/>
      <c r="P11" s="76"/>
      <c r="Q11" s="76"/>
      <c r="R11" s="76"/>
      <c r="S11" s="76"/>
      <c r="T11" s="76"/>
    </row>
    <row r="12" spans="1:20" s="2" customFormat="1" ht="30" customHeight="1">
      <c r="A12" s="392"/>
      <c r="B12" s="6">
        <v>7</v>
      </c>
      <c r="C12" s="3" t="s">
        <v>39</v>
      </c>
      <c r="D12" s="72">
        <v>2</v>
      </c>
      <c r="E12" s="74">
        <v>41.2</v>
      </c>
      <c r="F12" s="73">
        <f>(42.95+42.31+41.88+41.99+42.13+41.71+41.69+41.97+42.16+41.94+41.62+41.8+41.66+41.94+41.92+41.48+42.57+41.85+42.82+41.91+41.75+41.85+41.6+41.77)/24</f>
        <v>41.96958333333334</v>
      </c>
      <c r="G12" s="3">
        <v>305</v>
      </c>
      <c r="H12" s="3">
        <f t="shared" si="1"/>
        <v>26</v>
      </c>
      <c r="I12" s="63">
        <v>0.15486111111111112</v>
      </c>
      <c r="J12" s="63">
        <f t="shared" si="2"/>
        <v>1.4074074074074072E-2</v>
      </c>
      <c r="K12" s="65">
        <f>J12+K11</f>
        <v>8.1377314814814833E-2</v>
      </c>
      <c r="L12" s="186">
        <f t="shared" si="0"/>
        <v>0.76958333333333684</v>
      </c>
      <c r="M12" s="200">
        <f>AVERAGE(L6,L8,L10,L12)</f>
        <v>0.53522462636006196</v>
      </c>
      <c r="N12" s="2" t="s">
        <v>134</v>
      </c>
    </row>
    <row r="13" spans="1:20" s="2" customFormat="1" ht="30" customHeight="1" thickBot="1">
      <c r="A13" s="392"/>
      <c r="B13" s="71" t="s">
        <v>13</v>
      </c>
      <c r="C13" s="195" t="s">
        <v>40</v>
      </c>
      <c r="D13" s="195">
        <v>3</v>
      </c>
      <c r="E13" s="195">
        <v>41.61</v>
      </c>
      <c r="F13" s="196">
        <f>(42.88+42.04+42.29+41.82+42.45+43.4+41.93+41.82+41.87+41.61+41.94+41.72+41.92+42.55+41.7+41.62+41.68+42.3+41.9+41.74+41.72+41.82+42.79+41.62+41.76+41.71)/26</f>
        <v>42.023076923076921</v>
      </c>
      <c r="G13" s="195">
        <v>332</v>
      </c>
      <c r="H13" s="195">
        <f>G13-G12</f>
        <v>27</v>
      </c>
      <c r="I13" s="197">
        <v>0.1673611111111111</v>
      </c>
      <c r="J13" s="197">
        <f>I13-I12</f>
        <v>1.2499999999999983E-2</v>
      </c>
      <c r="K13" s="219">
        <f>J13+K10</f>
        <v>8.5983796296296267E-2</v>
      </c>
      <c r="L13" s="199">
        <f t="shared" si="0"/>
        <v>0.41307692307692179</v>
      </c>
      <c r="M13" s="201">
        <f>AVERAGE(L7,L9,L11,L13)</f>
        <v>0.48554195804195466</v>
      </c>
      <c r="N13" s="2" t="s">
        <v>135</v>
      </c>
    </row>
    <row r="14" spans="1:20" ht="27" customHeight="1" thickBot="1">
      <c r="A14" s="393"/>
      <c r="B14" s="385" t="s">
        <v>127</v>
      </c>
      <c r="C14" s="386"/>
      <c r="D14" s="386"/>
      <c r="E14" s="204">
        <f>AVERAGE(E6:E13)</f>
        <v>41.454999999999998</v>
      </c>
      <c r="F14" s="205">
        <f>AVERAGE(F6:F13)</f>
        <v>41.965383292201004</v>
      </c>
      <c r="G14" s="47"/>
      <c r="H14" s="47"/>
      <c r="I14" s="47"/>
      <c r="J14" s="47"/>
      <c r="K14" s="47"/>
      <c r="L14" s="47"/>
      <c r="M14" s="47"/>
      <c r="N14" s="2"/>
    </row>
    <row r="16" spans="1:20" ht="15.75">
      <c r="A16" s="209" t="s">
        <v>152</v>
      </c>
    </row>
    <row r="17" spans="1:1" ht="15.75">
      <c r="A17" s="209" t="s">
        <v>153</v>
      </c>
    </row>
  </sheetData>
  <mergeCells count="15">
    <mergeCell ref="L4:M4"/>
    <mergeCell ref="A6:A14"/>
    <mergeCell ref="B14:D14"/>
    <mergeCell ref="A1:M1"/>
    <mergeCell ref="A3:M3"/>
    <mergeCell ref="H4:H5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80" orientation="landscape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4"/>
  <sheetViews>
    <sheetView zoomScale="90" zoomScaleNormal="90" workbookViewId="0">
      <selection activeCell="I18" sqref="I18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387" t="s">
        <v>128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4" ht="10.5" customHeight="1"/>
    <row r="3" spans="1:14" ht="15.75" customHeight="1" thickBot="1">
      <c r="A3" s="388" t="s">
        <v>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</row>
    <row r="4" spans="1:14" s="1" customFormat="1" ht="25.5" customHeight="1">
      <c r="A4" s="396" t="s">
        <v>6</v>
      </c>
      <c r="B4" s="398" t="s">
        <v>7</v>
      </c>
      <c r="C4" s="394" t="s">
        <v>2</v>
      </c>
      <c r="D4" s="401" t="s">
        <v>5</v>
      </c>
      <c r="E4" s="403" t="s">
        <v>103</v>
      </c>
      <c r="F4" s="403" t="s">
        <v>91</v>
      </c>
      <c r="G4" s="394" t="s">
        <v>126</v>
      </c>
      <c r="H4" s="394" t="s">
        <v>172</v>
      </c>
      <c r="I4" s="394" t="s">
        <v>92</v>
      </c>
      <c r="J4" s="290" t="s">
        <v>14</v>
      </c>
      <c r="K4" s="290"/>
      <c r="L4" s="290" t="s">
        <v>131</v>
      </c>
      <c r="M4" s="390"/>
    </row>
    <row r="5" spans="1:14" s="1" customFormat="1" ht="22.5" customHeight="1" thickBot="1">
      <c r="A5" s="397"/>
      <c r="B5" s="405"/>
      <c r="C5" s="395"/>
      <c r="D5" s="406"/>
      <c r="E5" s="407"/>
      <c r="F5" s="407"/>
      <c r="G5" s="395"/>
      <c r="H5" s="395"/>
      <c r="I5" s="395"/>
      <c r="J5" s="191" t="s">
        <v>1</v>
      </c>
      <c r="K5" s="191" t="s">
        <v>0</v>
      </c>
      <c r="L5" s="192" t="s">
        <v>132</v>
      </c>
      <c r="M5" s="193" t="s">
        <v>133</v>
      </c>
    </row>
    <row r="6" spans="1:14" s="2" customFormat="1" ht="30" customHeight="1" thickBot="1">
      <c r="A6" s="391" t="s">
        <v>173</v>
      </c>
      <c r="B6" s="6">
        <v>1</v>
      </c>
      <c r="C6" s="74" t="s">
        <v>31</v>
      </c>
      <c r="D6" s="15">
        <v>5</v>
      </c>
      <c r="E6" s="202">
        <v>41.31</v>
      </c>
      <c r="F6" s="190">
        <f>(44.39+42.45+41.98+41.96+41.99+41.58+41.66+41.9+41.79+41.91+41.31+41.48+41.72+41.8+41.47+41.35+42.17+43.27+41.67+41.63+41.73+42.25+42.12+42.16+41.83)/25</f>
        <v>41.982799999999997</v>
      </c>
      <c r="G6" s="74">
        <v>26</v>
      </c>
      <c r="H6" s="211">
        <f>G6-0</f>
        <v>26</v>
      </c>
      <c r="I6" s="183">
        <v>1.3865740740740739E-2</v>
      </c>
      <c r="J6" s="183">
        <f>I6</f>
        <v>1.3865740740740739E-2</v>
      </c>
      <c r="K6" s="184">
        <f>J6</f>
        <v>1.3865740740740739E-2</v>
      </c>
      <c r="L6" s="185">
        <f>F6-E6</f>
        <v>0.67279999999999518</v>
      </c>
      <c r="M6" s="194"/>
    </row>
    <row r="7" spans="1:14" s="2" customFormat="1" ht="30" customHeight="1">
      <c r="A7" s="392"/>
      <c r="B7" s="6">
        <v>2</v>
      </c>
      <c r="C7" s="8" t="s">
        <v>32</v>
      </c>
      <c r="D7" s="3">
        <v>15</v>
      </c>
      <c r="E7" s="74">
        <v>42.01</v>
      </c>
      <c r="F7" s="62">
        <f>(43.01+43.75+42.43+42.22+42.03+42.16+42.53+43.07+42.55+42.19+42.29+42.1+42.54+42.21+42.17+42.1+42.33+43.66+42.4+42.27+42.21+42.27+42.01+42.69+42.16+43.1+42.21+42.17+42.63+42.7+42.68+42.06+42.73+42.67+42.36+43.3+42.76)/37</f>
        <v>42.505945945945953</v>
      </c>
      <c r="G7" s="3">
        <v>66</v>
      </c>
      <c r="H7" s="3">
        <f>G7-G6</f>
        <v>40</v>
      </c>
      <c r="I7" s="63">
        <v>3.3796296296296297E-2</v>
      </c>
      <c r="J7" s="63">
        <f>I7-I6</f>
        <v>1.9930555555555556E-2</v>
      </c>
      <c r="K7" s="64">
        <f>J7</f>
        <v>1.9930555555555556E-2</v>
      </c>
      <c r="L7" s="186">
        <f t="shared" ref="L7:L13" si="0">F7-E7</f>
        <v>0.4959459459459552</v>
      </c>
      <c r="M7" s="194"/>
    </row>
    <row r="8" spans="1:14" s="2" customFormat="1" ht="30" customHeight="1">
      <c r="A8" s="392"/>
      <c r="B8" s="6">
        <v>3</v>
      </c>
      <c r="C8" s="3" t="s">
        <v>31</v>
      </c>
      <c r="D8" s="3">
        <v>4</v>
      </c>
      <c r="E8" s="7">
        <v>41.89</v>
      </c>
      <c r="F8" s="62">
        <f>(43.34+42.39+42.46+42.33+42.19+42.11+42.21+42.19+42.11+42+41.99+41.94+42.73+42.04+43.1+42.19+42.99+41.89+41.95+42.5+42.47+43.28+42.97+44.39+42.27+41.99+48.35+43.74)/28</f>
        <v>42.718214285714282</v>
      </c>
      <c r="G8" s="3">
        <v>95</v>
      </c>
      <c r="H8" s="3">
        <f t="shared" ref="H8:H12" si="1">G8-G7</f>
        <v>29</v>
      </c>
      <c r="I8" s="63">
        <v>4.8888888888888891E-2</v>
      </c>
      <c r="J8" s="63">
        <f>I8-I7</f>
        <v>1.5092592592592595E-2</v>
      </c>
      <c r="K8" s="64">
        <f>J8+J6</f>
        <v>2.8958333333333336E-2</v>
      </c>
      <c r="L8" s="187">
        <f t="shared" si="0"/>
        <v>0.82821428571428157</v>
      </c>
      <c r="M8" s="194"/>
    </row>
    <row r="9" spans="1:14" s="2" customFormat="1" ht="30" customHeight="1">
      <c r="A9" s="392"/>
      <c r="B9" s="6">
        <v>4</v>
      </c>
      <c r="C9" s="3" t="s">
        <v>32</v>
      </c>
      <c r="D9" s="72">
        <v>5</v>
      </c>
      <c r="E9" s="3">
        <v>41.85</v>
      </c>
      <c r="F9" s="73">
        <f>(43.65+42.81+42.48+42.93+42.51+42.12+42.41+42.05+42.12+42.26+42.05+41.85+41.91+42.32+43.45+42.18+42.67+42.54+42.22+42.25+42.53+41.88+42.18+44.52+42.3+42.98+42.41+42.37+42.21+42.63+42.01+42.03+42.25+42.91+44.27+42.34+42.58+42.44+42.7+42.6+43+42.27+43.14+42.5+42.21+42.42+42.4+42.26+42.32+42.91+42.22+42.61+42.61+42.12+43.07+42.87+42.11+43.46)/58</f>
        <v>42.541724137931034</v>
      </c>
      <c r="G9" s="3">
        <v>154</v>
      </c>
      <c r="H9" s="3">
        <f t="shared" si="1"/>
        <v>59</v>
      </c>
      <c r="I9" s="63">
        <v>7.8703703703703706E-2</v>
      </c>
      <c r="J9" s="63">
        <f t="shared" ref="J9:J12" si="2">I9-I8</f>
        <v>2.9814814814814815E-2</v>
      </c>
      <c r="K9" s="67">
        <f>J9+J7</f>
        <v>4.974537037037037E-2</v>
      </c>
      <c r="L9" s="186">
        <f t="shared" si="0"/>
        <v>0.6917241379310326</v>
      </c>
      <c r="M9" s="194"/>
    </row>
    <row r="10" spans="1:14" s="2" customFormat="1" ht="30" customHeight="1" thickBot="1">
      <c r="A10" s="392"/>
      <c r="B10" s="6">
        <v>5</v>
      </c>
      <c r="C10" s="3" t="s">
        <v>31</v>
      </c>
      <c r="D10" s="3">
        <v>14</v>
      </c>
      <c r="E10" s="75">
        <v>41.99</v>
      </c>
      <c r="F10" s="62">
        <f>(42.98+43.2+42.44+42.16+42.21+42.22+42.13+42.33+42.31+42.57+43.73+42.91+42.54+42.66+42.3+42.83+41.99+43.12+42.65+42.05+42.19+42.27+43.12+42.38+42.08+42.32+42.32+42.19+42.26+42.69+42.86+42.74+42.18+42.41+42.34+42.63+42.33+42.88+42.28+42.38+42.28+42.32+42.2+43.48+42.32+42.04+42.3+42.27+42.41+42.21+42.35)/51</f>
        <v>42.477647058823521</v>
      </c>
      <c r="G10" s="3">
        <v>206</v>
      </c>
      <c r="H10" s="3">
        <f t="shared" si="1"/>
        <v>52</v>
      </c>
      <c r="I10" s="63">
        <v>0.10513888888888889</v>
      </c>
      <c r="J10" s="63">
        <f t="shared" si="2"/>
        <v>2.6435185185185187E-2</v>
      </c>
      <c r="K10" s="67">
        <f>J10+K8</f>
        <v>5.5393518518518522E-2</v>
      </c>
      <c r="L10" s="188">
        <f t="shared" si="0"/>
        <v>0.48764705882351933</v>
      </c>
      <c r="M10" s="194"/>
    </row>
    <row r="11" spans="1:14" s="2" customFormat="1" ht="30" customHeight="1" thickBot="1">
      <c r="A11" s="392"/>
      <c r="B11" s="6">
        <v>6</v>
      </c>
      <c r="C11" s="3" t="s">
        <v>32</v>
      </c>
      <c r="D11" s="72">
        <v>3</v>
      </c>
      <c r="E11" s="203">
        <v>41.56</v>
      </c>
      <c r="F11" s="73">
        <f>(43.98+42.85+42.35+42.36+42.07+42.31+42.19+42.2+43.42+41.83+41.85+41.04+41.98+42.07+41.96+41.75+42.52+41.99+43.42+42.2+42.19+41.86+42.14+42.26+41.92+43.13+42.64+42.55+41.56+42.04+41.82+42.07+41.73+41.71+41.71+42.15+41.79+42.19)/38</f>
        <v>42.205263157894748</v>
      </c>
      <c r="G11" s="3">
        <v>247</v>
      </c>
      <c r="H11" s="3">
        <f t="shared" si="1"/>
        <v>41</v>
      </c>
      <c r="I11" s="63">
        <v>0.1260300925925926</v>
      </c>
      <c r="J11" s="63">
        <f t="shared" si="2"/>
        <v>2.0891203703703703E-2</v>
      </c>
      <c r="K11" s="67">
        <f>J11+K9</f>
        <v>7.0636574074074074E-2</v>
      </c>
      <c r="L11" s="186">
        <f t="shared" si="0"/>
        <v>0.64526315789474609</v>
      </c>
      <c r="M11" s="194"/>
    </row>
    <row r="12" spans="1:14" s="2" customFormat="1" ht="30" customHeight="1">
      <c r="A12" s="392"/>
      <c r="B12" s="6">
        <v>7</v>
      </c>
      <c r="C12" s="3" t="s">
        <v>31</v>
      </c>
      <c r="D12" s="72">
        <v>14</v>
      </c>
      <c r="E12" s="74">
        <v>41.61</v>
      </c>
      <c r="F12" s="73">
        <f>(42.76+42.37+42.16+42.18+42.31+42.03+42.79+42.77+42.33+42.08+42.01+41.81+42.11+41.93+41.97+41.86+42.61+41.8+42.11+41.95+41.98+43.1+42.13+42.68+42.11+41.61+42.34+42.14+41.99+41.83+41.76+41.66+41.8+41.93+41.83+42.19+42.13+41.97+42.12+41.84+42.89+41.96+41.66+42.04+42.07+41.89+41.95+41.89+42.12+41.95+42.07+42.21+42.17+42.44)/54</f>
        <v>42.118333333333339</v>
      </c>
      <c r="G12" s="3">
        <v>303</v>
      </c>
      <c r="H12" s="3">
        <f t="shared" si="1"/>
        <v>56</v>
      </c>
      <c r="I12" s="63">
        <v>0.15552083333333333</v>
      </c>
      <c r="J12" s="63">
        <f t="shared" si="2"/>
        <v>2.9490740740740734E-2</v>
      </c>
      <c r="K12" s="66">
        <f>J12+K10</f>
        <v>8.4884259259259257E-2</v>
      </c>
      <c r="L12" s="186">
        <f t="shared" si="0"/>
        <v>0.50833333333333997</v>
      </c>
      <c r="M12" s="200">
        <f>AVERAGE(L6,L8,L10,L12)</f>
        <v>0.62424866946778401</v>
      </c>
      <c r="N12" s="2" t="s">
        <v>129</v>
      </c>
    </row>
    <row r="13" spans="1:14" s="2" customFormat="1" ht="30" customHeight="1" thickBot="1">
      <c r="A13" s="392"/>
      <c r="B13" s="71" t="s">
        <v>13</v>
      </c>
      <c r="C13" s="195" t="s">
        <v>32</v>
      </c>
      <c r="D13" s="195">
        <v>11</v>
      </c>
      <c r="E13" s="195">
        <v>42.02</v>
      </c>
      <c r="F13" s="196">
        <f>(43.86+43.62+42.6+42.33+42.57+42.34+42.41+42.32+42.23+42.69+42.87+42.45+42.19+42.6+42.19+42.02+42.31+42.93+42.52+42.23+42.36+43.25+42.62+42.77)/24</f>
        <v>42.594999999999992</v>
      </c>
      <c r="G13" s="195">
        <v>329</v>
      </c>
      <c r="H13" s="195">
        <f>G13-G12</f>
        <v>26</v>
      </c>
      <c r="I13" s="197">
        <v>0.1673611111111111</v>
      </c>
      <c r="J13" s="197">
        <f>I13-I12</f>
        <v>1.1840277777777769E-2</v>
      </c>
      <c r="K13" s="198">
        <f>J13+K11</f>
        <v>8.2476851851851843E-2</v>
      </c>
      <c r="L13" s="199">
        <f t="shared" si="0"/>
        <v>0.57499999999998863</v>
      </c>
      <c r="M13" s="201">
        <f>AVERAGE(L7,L9,L11,L13)</f>
        <v>0.60198331044293063</v>
      </c>
      <c r="N13" s="2" t="s">
        <v>130</v>
      </c>
    </row>
    <row r="14" spans="1:14" s="2" customFormat="1" ht="27" customHeight="1" thickBot="1">
      <c r="A14" s="393"/>
      <c r="B14" s="385" t="s">
        <v>127</v>
      </c>
      <c r="C14" s="386"/>
      <c r="D14" s="386"/>
      <c r="E14" s="204">
        <f>AVERAGE(E6:E13)</f>
        <v>41.78</v>
      </c>
      <c r="F14" s="205">
        <f>AVERAGE(F6:F13)</f>
        <v>42.393115989955355</v>
      </c>
      <c r="G14" s="47"/>
      <c r="H14" s="47"/>
      <c r="I14" s="47"/>
      <c r="J14" s="47"/>
      <c r="K14" s="47"/>
      <c r="L14" s="47"/>
      <c r="M14" s="47"/>
    </row>
  </sheetData>
  <mergeCells count="15">
    <mergeCell ref="A6:A14"/>
    <mergeCell ref="B14:D14"/>
    <mergeCell ref="L4:M4"/>
    <mergeCell ref="A1:M1"/>
    <mergeCell ref="A3:M3"/>
    <mergeCell ref="H4:H5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84" orientation="landscape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6"/>
  <sheetViews>
    <sheetView zoomScale="90" zoomScaleNormal="90" workbookViewId="0">
      <selection activeCell="G12" sqref="G12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387" t="s">
        <v>128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4" ht="10.5" customHeight="1"/>
    <row r="3" spans="1:14" ht="15.75" customHeight="1" thickBot="1">
      <c r="A3" s="388" t="s">
        <v>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</row>
    <row r="4" spans="1:14" s="1" customFormat="1" ht="25.5" customHeight="1">
      <c r="A4" s="396" t="s">
        <v>6</v>
      </c>
      <c r="B4" s="398" t="s">
        <v>7</v>
      </c>
      <c r="C4" s="394" t="s">
        <v>2</v>
      </c>
      <c r="D4" s="401" t="s">
        <v>5</v>
      </c>
      <c r="E4" s="403" t="s">
        <v>103</v>
      </c>
      <c r="F4" s="403" t="s">
        <v>91</v>
      </c>
      <c r="G4" s="394" t="s">
        <v>126</v>
      </c>
      <c r="H4" s="394" t="s">
        <v>172</v>
      </c>
      <c r="I4" s="394" t="s">
        <v>92</v>
      </c>
      <c r="J4" s="290" t="s">
        <v>14</v>
      </c>
      <c r="K4" s="290"/>
      <c r="L4" s="290" t="s">
        <v>131</v>
      </c>
      <c r="M4" s="390"/>
    </row>
    <row r="5" spans="1:14" s="1" customFormat="1" ht="22.5" customHeight="1" thickBot="1">
      <c r="A5" s="397"/>
      <c r="B5" s="405"/>
      <c r="C5" s="395"/>
      <c r="D5" s="406"/>
      <c r="E5" s="407"/>
      <c r="F5" s="407"/>
      <c r="G5" s="395"/>
      <c r="H5" s="395"/>
      <c r="I5" s="395"/>
      <c r="J5" s="191" t="s">
        <v>1</v>
      </c>
      <c r="K5" s="191" t="s">
        <v>0</v>
      </c>
      <c r="L5" s="192" t="s">
        <v>132</v>
      </c>
      <c r="M5" s="193" t="s">
        <v>133</v>
      </c>
    </row>
    <row r="6" spans="1:14" s="2" customFormat="1" ht="30" customHeight="1">
      <c r="A6" s="391" t="s">
        <v>82</v>
      </c>
      <c r="B6" s="6">
        <v>1</v>
      </c>
      <c r="C6" s="74" t="s">
        <v>41</v>
      </c>
      <c r="D6" s="15">
        <v>21</v>
      </c>
      <c r="E6" s="213">
        <v>41.99</v>
      </c>
      <c r="F6" s="190">
        <f>(44.69+44.85+49.41+42.97+42.53+43.13+42.58+43.42+42.65+42.83+42.43+43.19+41.99+43.06+42.7+42.77+43.72+42.39+42.2+42.55+43.74+42.13+42.27+43.81+42.72+43.16+43.23+42.45+42.83+43.47+42.52+42.1+43.27)/33</f>
        <v>43.144242424242421</v>
      </c>
      <c r="G6" s="74">
        <v>35</v>
      </c>
      <c r="H6" s="211">
        <f>G6-0</f>
        <v>35</v>
      </c>
      <c r="I6" s="183">
        <v>1.8831018518518518E-2</v>
      </c>
      <c r="J6" s="183">
        <f>I6</f>
        <v>1.8831018518518518E-2</v>
      </c>
      <c r="K6" s="184">
        <f>J6</f>
        <v>1.8831018518518518E-2</v>
      </c>
      <c r="L6" s="185">
        <f>F6-E6</f>
        <v>1.154242424242419</v>
      </c>
      <c r="M6" s="194"/>
    </row>
    <row r="7" spans="1:14" s="2" customFormat="1" ht="30" customHeight="1">
      <c r="A7" s="392"/>
      <c r="B7" s="6">
        <v>2</v>
      </c>
      <c r="C7" s="271" t="s">
        <v>43</v>
      </c>
      <c r="D7" s="3">
        <v>5</v>
      </c>
      <c r="E7" s="74">
        <v>42.28</v>
      </c>
      <c r="F7" s="62">
        <f>(43.81+43.2+43.85+43.17+43.36+44.27+43.46+44.06+42.82+42.96+42.83+43.11+43.18+43.04+43.72+42.6+43.45+42.74+43.07+42.71+43.52+42.59+43.08+42.96+42.63+42.73+43.99+43.27+42.48+43.81+42.78+42.74+42.47+43.02+42.94+43.01+43.39+42.98+43.09+43.15+44.17+43.42+42.28+43.31+42.51+42.39+43.37+43.16+42.62+43.14+42.96+42.95+42.58+42.98+43.8+42.32)/56</f>
        <v>43.107142857142868</v>
      </c>
      <c r="G7" s="3">
        <v>93</v>
      </c>
      <c r="H7" s="3">
        <f>G7-G6</f>
        <v>58</v>
      </c>
      <c r="I7" s="63">
        <v>4.8020833333333339E-2</v>
      </c>
      <c r="J7" s="63">
        <f>I7-I6</f>
        <v>2.9189814814814821E-2</v>
      </c>
      <c r="K7" s="64">
        <f>J7</f>
        <v>2.9189814814814821E-2</v>
      </c>
      <c r="L7" s="186">
        <f t="shared" ref="L7:L13" si="0">F7-E7</f>
        <v>0.82714285714286717</v>
      </c>
      <c r="M7" s="194"/>
    </row>
    <row r="8" spans="1:14" s="2" customFormat="1" ht="30" customHeight="1">
      <c r="A8" s="392"/>
      <c r="B8" s="6">
        <v>3</v>
      </c>
      <c r="C8" s="3" t="s">
        <v>42</v>
      </c>
      <c r="D8" s="3">
        <v>10</v>
      </c>
      <c r="E8" s="7">
        <v>42.79</v>
      </c>
      <c r="F8" s="62">
        <f>(45.89+44.64+44.52+43.64+43.63+44.1+44.25+43.93+43.32+43.57+44.32+43.89+43.9+43.88+43.7+43.48+44.16+43.35+43.92+42.79+43.28+43.83+43.09+43.9+43.22+42.98+43.94+42.95+43.67+43.33+43.21+43.03+43.7+42.82+43.78)/35</f>
        <v>43.703142857142858</v>
      </c>
      <c r="G8" s="3">
        <v>130</v>
      </c>
      <c r="H8" s="3">
        <f t="shared" ref="H8:H11" si="1">G8-G7</f>
        <v>37</v>
      </c>
      <c r="I8" s="63">
        <v>6.8043981481481483E-2</v>
      </c>
      <c r="J8" s="63">
        <f>I8-I7</f>
        <v>2.0023148148148144E-2</v>
      </c>
      <c r="K8" s="64">
        <f>J8</f>
        <v>2.0023148148148144E-2</v>
      </c>
      <c r="L8" s="187">
        <f t="shared" si="0"/>
        <v>0.91314285714285859</v>
      </c>
      <c r="M8" s="194"/>
    </row>
    <row r="9" spans="1:14" s="2" customFormat="1" ht="30" customHeight="1" thickBot="1">
      <c r="A9" s="392"/>
      <c r="B9" s="6">
        <v>4</v>
      </c>
      <c r="C9" s="3" t="s">
        <v>41</v>
      </c>
      <c r="D9" s="72">
        <v>15</v>
      </c>
      <c r="E9" s="3">
        <v>42.23</v>
      </c>
      <c r="F9" s="73">
        <f>(43.87+44.81+43.15+42.78+42.89+43.46+42.98+42.78+43.07+43.9+44.08+42.4+42.31+42.74+43.15+43.34+43.31+44.54+43.48+42.85+42.86+44.13+43.14+42.65+43.2+42.75+43.13+43.3+43.34+42.92+43.46+46.17+49.43+43.74+42.23+44+43.07+43+43.16+43+43.44)/41</f>
        <v>43.463658536585378</v>
      </c>
      <c r="G9" s="3">
        <v>172</v>
      </c>
      <c r="H9" s="3">
        <f t="shared" si="1"/>
        <v>42</v>
      </c>
      <c r="I9" s="63">
        <v>8.9930555555555555E-2</v>
      </c>
      <c r="J9" s="63">
        <f t="shared" ref="J9:J11" si="2">I9-I8</f>
        <v>2.1886574074074072E-2</v>
      </c>
      <c r="K9" s="67">
        <f>J9+K6</f>
        <v>4.071759259259259E-2</v>
      </c>
      <c r="L9" s="186">
        <f t="shared" si="0"/>
        <v>1.2336585365853807</v>
      </c>
      <c r="M9" s="194"/>
    </row>
    <row r="10" spans="1:14" s="2" customFormat="1" ht="30" customHeight="1" thickBot="1">
      <c r="A10" s="392"/>
      <c r="B10" s="6">
        <v>5</v>
      </c>
      <c r="C10" s="3" t="s">
        <v>43</v>
      </c>
      <c r="D10" s="3">
        <v>14</v>
      </c>
      <c r="E10" s="203">
        <v>42.23</v>
      </c>
      <c r="F10" s="62">
        <f>(44.73+43.36+42.95+42.89+43.29+43.14+43.13+43.6+42.91+42.4+43.36+42.56+43.31+43.42+43.43+43.66+43.15+42.61+42.79+42.74+42.54+42.23+42.9+42.65+42.76+42.61+42.6+43.08+42.98+42.94+42.87+42.78+42.93+42.34+42.66+42.67+42.87+43.26+42.79+42.77+42.66+43.49+43.28)/43</f>
        <v>42.978837209302313</v>
      </c>
      <c r="G10" s="3">
        <v>216</v>
      </c>
      <c r="H10" s="3">
        <f t="shared" si="1"/>
        <v>44</v>
      </c>
      <c r="I10" s="63">
        <v>0.1125462962962963</v>
      </c>
      <c r="J10" s="63">
        <f t="shared" si="2"/>
        <v>2.2615740740740742E-2</v>
      </c>
      <c r="K10" s="65">
        <f>J10+K7</f>
        <v>5.1805555555555563E-2</v>
      </c>
      <c r="L10" s="186">
        <f t="shared" si="0"/>
        <v>0.7488372093023159</v>
      </c>
      <c r="M10" s="194"/>
    </row>
    <row r="11" spans="1:14" s="2" customFormat="1" ht="30" customHeight="1" thickBot="1">
      <c r="A11" s="392"/>
      <c r="B11" s="6">
        <v>6</v>
      </c>
      <c r="C11" s="3" t="s">
        <v>42</v>
      </c>
      <c r="D11" s="72">
        <v>11</v>
      </c>
      <c r="E11" s="203">
        <v>42.41</v>
      </c>
      <c r="F11" s="73">
        <f>(43.65+43.62+43.94+44.81+43.45+42.66+43.09+42.74+43.08+43.15+43.44+43.12+42.85+43.53+43.18+42.69+42.56+42.86+42.51+42.54+42.98+42.8+43+43.16+42.74+43.13+42.81+42.94+43.27+42.59+42.82+43.87+42.55+42.77)/34</f>
        <v>43.085294117647045</v>
      </c>
      <c r="G11" s="3">
        <v>251</v>
      </c>
      <c r="H11" s="3">
        <f t="shared" si="1"/>
        <v>35</v>
      </c>
      <c r="I11" s="63">
        <v>0.13134259259259259</v>
      </c>
      <c r="J11" s="63">
        <f t="shared" si="2"/>
        <v>1.8796296296296297E-2</v>
      </c>
      <c r="K11" s="67">
        <f>J11+K8</f>
        <v>3.8819444444444441E-2</v>
      </c>
      <c r="L11" s="186">
        <f t="shared" si="0"/>
        <v>0.67529411764704861</v>
      </c>
      <c r="M11" s="200">
        <f>AVERAGE(L8,L11,L13)</f>
        <v>0.74320448179271159</v>
      </c>
      <c r="N11" s="2" t="s">
        <v>185</v>
      </c>
    </row>
    <row r="12" spans="1:14" s="2" customFormat="1" ht="30" customHeight="1" thickBot="1">
      <c r="A12" s="392"/>
      <c r="B12" s="6">
        <v>7</v>
      </c>
      <c r="C12" s="3" t="s">
        <v>41</v>
      </c>
      <c r="D12" s="72">
        <v>13</v>
      </c>
      <c r="E12" s="203">
        <v>41.88</v>
      </c>
      <c r="F12" s="73">
        <f>(44.66+42.44+43.95+42.62+42.49+42.12+42.53+43.8+42.67+41.92+43.53+43.24+43.41+42.11+41.88+42.06+42.38+42.02+42.11+42.8+42.1+42.33+43.69+43.24+43.98+42.48+42.22+42.46+43.1+42.64+42.21+42.12+43.15+42.96)/34</f>
        <v>42.747647058823539</v>
      </c>
      <c r="G12" s="3">
        <v>287</v>
      </c>
      <c r="H12" s="3">
        <f>G12-G11</f>
        <v>36</v>
      </c>
      <c r="I12" s="63">
        <v>0.15015046296296297</v>
      </c>
      <c r="J12" s="63">
        <f>I12-I11</f>
        <v>1.8807870370370378E-2</v>
      </c>
      <c r="K12" s="66">
        <f>J12+K9</f>
        <v>5.9525462962962968E-2</v>
      </c>
      <c r="L12" s="186">
        <f t="shared" si="0"/>
        <v>0.8676470588235361</v>
      </c>
      <c r="M12" s="200">
        <f>AVERAGE(L6,L9,L12)</f>
        <v>1.0851826732171119</v>
      </c>
      <c r="N12" s="2" t="s">
        <v>186</v>
      </c>
    </row>
    <row r="13" spans="1:14" s="2" customFormat="1" ht="30" customHeight="1" thickBot="1">
      <c r="A13" s="392"/>
      <c r="B13" s="270" t="s">
        <v>13</v>
      </c>
      <c r="C13" s="195" t="s">
        <v>42</v>
      </c>
      <c r="D13" s="195">
        <v>11</v>
      </c>
      <c r="E13" s="195">
        <v>42.59</v>
      </c>
      <c r="F13" s="196">
        <f>(43.44+43.21+44.11+43.16+42.76+43.12+43.23+42.9+44.21+43.8+43.35+43.03+42.97+43.84+43.28+42.67+43.97+42.69+42.59+43.28+42.94+44.28+43.5+43.03+43.06+43.97+42.68+42.75+42.68+43.75+42.89+42.61+42.85+43.26)/34</f>
        <v>43.231176470588231</v>
      </c>
      <c r="G13" s="195">
        <v>322</v>
      </c>
      <c r="H13" s="195">
        <f>G13-G12</f>
        <v>35</v>
      </c>
      <c r="I13" s="197">
        <v>0.1673611111111111</v>
      </c>
      <c r="J13" s="197">
        <f>I13-I12</f>
        <v>1.7210648148148128E-2</v>
      </c>
      <c r="K13" s="198">
        <f>J13+K11</f>
        <v>5.6030092592592569E-2</v>
      </c>
      <c r="L13" s="221">
        <f t="shared" si="0"/>
        <v>0.64117647058822769</v>
      </c>
      <c r="M13" s="201">
        <f>AVERAGE(L7,L10)</f>
        <v>0.78799003322259153</v>
      </c>
      <c r="N13" s="2" t="s">
        <v>187</v>
      </c>
    </row>
    <row r="14" spans="1:14" ht="31.5" customHeight="1" thickBot="1">
      <c r="A14" s="393"/>
      <c r="B14" s="385" t="s">
        <v>127</v>
      </c>
      <c r="C14" s="386"/>
      <c r="D14" s="386"/>
      <c r="E14" s="204">
        <f>AVERAGE(E6:E13)</f>
        <v>42.3</v>
      </c>
      <c r="F14" s="205">
        <f>AVERAGE(F6:F13)</f>
        <v>43.182642691434332</v>
      </c>
      <c r="G14" s="47"/>
      <c r="H14" s="47"/>
      <c r="I14" s="47"/>
      <c r="J14" s="47"/>
      <c r="K14" s="47"/>
      <c r="L14" s="47"/>
      <c r="M14" s="47"/>
      <c r="N14" s="2"/>
    </row>
    <row r="16" spans="1:14" ht="15.75">
      <c r="A16" s="209" t="s">
        <v>192</v>
      </c>
    </row>
  </sheetData>
  <mergeCells count="15">
    <mergeCell ref="A6:A14"/>
    <mergeCell ref="B14:D14"/>
    <mergeCell ref="A4:A5"/>
    <mergeCell ref="B4:B5"/>
    <mergeCell ref="C4:C5"/>
    <mergeCell ref="D4:D5"/>
    <mergeCell ref="J4:K4"/>
    <mergeCell ref="A1:M1"/>
    <mergeCell ref="A3:M3"/>
    <mergeCell ref="H4:H5"/>
    <mergeCell ref="L4:M4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"/>
  <sheetViews>
    <sheetView zoomScale="90" zoomScaleNormal="90" workbookViewId="0">
      <selection activeCell="E8" sqref="E8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.57031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5703125" style="1" customWidth="1"/>
    <col min="13" max="13" width="9.140625" style="1"/>
  </cols>
  <sheetData>
    <row r="1" spans="1:14" ht="19.5">
      <c r="A1" s="387" t="s">
        <v>128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4" ht="10.5" customHeight="1"/>
    <row r="3" spans="1:14" ht="15.75" customHeight="1" thickBot="1">
      <c r="A3" s="388" t="s">
        <v>4</v>
      </c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</row>
    <row r="4" spans="1:14" s="1" customFormat="1" ht="25.5" customHeight="1">
      <c r="A4" s="396" t="s">
        <v>6</v>
      </c>
      <c r="B4" s="398" t="s">
        <v>7</v>
      </c>
      <c r="C4" s="394" t="s">
        <v>2</v>
      </c>
      <c r="D4" s="401" t="s">
        <v>5</v>
      </c>
      <c r="E4" s="403" t="s">
        <v>103</v>
      </c>
      <c r="F4" s="403" t="s">
        <v>91</v>
      </c>
      <c r="G4" s="394" t="s">
        <v>126</v>
      </c>
      <c r="H4" s="394" t="s">
        <v>172</v>
      </c>
      <c r="I4" s="394" t="s">
        <v>92</v>
      </c>
      <c r="J4" s="290" t="s">
        <v>14</v>
      </c>
      <c r="K4" s="290"/>
      <c r="L4" s="290" t="s">
        <v>131</v>
      </c>
      <c r="M4" s="390"/>
    </row>
    <row r="5" spans="1:14" s="1" customFormat="1" ht="22.5" customHeight="1" thickBot="1">
      <c r="A5" s="397"/>
      <c r="B5" s="405"/>
      <c r="C5" s="395"/>
      <c r="D5" s="406"/>
      <c r="E5" s="407"/>
      <c r="F5" s="407"/>
      <c r="G5" s="395"/>
      <c r="H5" s="395"/>
      <c r="I5" s="395"/>
      <c r="J5" s="191" t="s">
        <v>1</v>
      </c>
      <c r="K5" s="191" t="s">
        <v>0</v>
      </c>
      <c r="L5" s="192" t="s">
        <v>132</v>
      </c>
      <c r="M5" s="193" t="s">
        <v>133</v>
      </c>
    </row>
    <row r="6" spans="1:14" s="2" customFormat="1" ht="30" customHeight="1" thickBot="1">
      <c r="A6" s="391" t="s">
        <v>83</v>
      </c>
      <c r="B6" s="6">
        <v>1</v>
      </c>
      <c r="C6" s="74" t="s">
        <v>24</v>
      </c>
      <c r="D6" s="15">
        <v>1</v>
      </c>
      <c r="E6" s="203">
        <v>42.52</v>
      </c>
      <c r="F6" s="190">
        <f>(44.45+43.7+46.74+43.43+43.87+42.94+43.14+42.93+43+43.1+43.2+43.66+42.82+43+43.97+42.66+43.2+42.94+42.92+43.32+43.12+42.84+42.65+42.74+42.52+42.63+42.98+43.09+42.76)/29</f>
        <v>43.252413793103443</v>
      </c>
      <c r="G6" s="74">
        <v>30</v>
      </c>
      <c r="H6" s="211">
        <f>G6-0</f>
        <v>30</v>
      </c>
      <c r="I6" s="183">
        <v>1.6273148148148148E-2</v>
      </c>
      <c r="J6" s="183">
        <f>I6</f>
        <v>1.6273148148148148E-2</v>
      </c>
      <c r="K6" s="184">
        <f>J6</f>
        <v>1.6273148148148148E-2</v>
      </c>
      <c r="L6" s="185">
        <f>F6-E6</f>
        <v>0.73241379310344001</v>
      </c>
      <c r="M6" s="194"/>
    </row>
    <row r="7" spans="1:14" s="2" customFormat="1" ht="30" customHeight="1">
      <c r="A7" s="392"/>
      <c r="B7" s="6">
        <v>2</v>
      </c>
      <c r="C7" s="271" t="s">
        <v>183</v>
      </c>
      <c r="D7" s="3" t="s">
        <v>184</v>
      </c>
      <c r="E7" s="74">
        <v>42.84</v>
      </c>
      <c r="F7" s="62">
        <f>(44.65+44.55+44.53+43.83+43.61+43.95+43.56+43.5+43.38+43.67+45.04+42.84+43.2+43.1+42.97+44.19+45.03+42.96+43.32+43.57+43.17+43.31+43.41+43.08+43.15+43.66+44.47+43.24+44.04+43.91+54.55)/31</f>
        <v>44.04645161290324</v>
      </c>
      <c r="G7" s="3">
        <v>53</v>
      </c>
      <c r="H7" s="3">
        <f>G7-G6</f>
        <v>23</v>
      </c>
      <c r="I7" s="63">
        <v>3.3217592592592597E-2</v>
      </c>
      <c r="J7" s="63">
        <f>I7-I6</f>
        <v>1.6944444444444449E-2</v>
      </c>
      <c r="K7" s="64">
        <f>J7</f>
        <v>1.6944444444444449E-2</v>
      </c>
      <c r="L7" s="186">
        <f t="shared" ref="L7:L15" si="0">F7-E7</f>
        <v>1.206451612903237</v>
      </c>
      <c r="M7" s="194"/>
    </row>
    <row r="8" spans="1:14" s="2" customFormat="1" ht="30" customHeight="1">
      <c r="A8" s="392"/>
      <c r="B8" s="6">
        <v>3</v>
      </c>
      <c r="C8" s="3" t="s">
        <v>26</v>
      </c>
      <c r="D8" s="3">
        <v>14</v>
      </c>
      <c r="E8" s="7">
        <v>42.13</v>
      </c>
      <c r="F8" s="62">
        <f>(43.1+42.74+42.75+42.51+42.73+43.24+42.69+44.26+42.49+42.32+42.63+42.25+42.17+42.62+42.18+42.86+42.16+42.13+42.26+42.18+42.71+42.34+42.69+42.82+42.67+42.54+43+49.74+44.65+54.11+44.15+44.07)/32</f>
        <v>43.3675</v>
      </c>
      <c r="G8" s="3">
        <v>96</v>
      </c>
      <c r="H8" s="3">
        <f t="shared" ref="H8:H11" si="1">G8-G7</f>
        <v>43</v>
      </c>
      <c r="I8" s="63">
        <v>5.0416666666666665E-2</v>
      </c>
      <c r="J8" s="63">
        <f>I8-I7</f>
        <v>1.7199074074074068E-2</v>
      </c>
      <c r="K8" s="64">
        <f>J8</f>
        <v>1.7199074074074068E-2</v>
      </c>
      <c r="L8" s="187">
        <f t="shared" si="0"/>
        <v>1.2374999999999972</v>
      </c>
      <c r="M8" s="194"/>
    </row>
    <row r="9" spans="1:14" s="2" customFormat="1" ht="30" customHeight="1">
      <c r="A9" s="392"/>
      <c r="B9" s="6">
        <v>4</v>
      </c>
      <c r="C9" s="3" t="s">
        <v>24</v>
      </c>
      <c r="D9" s="72">
        <v>4</v>
      </c>
      <c r="E9" s="7">
        <v>42.77</v>
      </c>
      <c r="F9" s="73">
        <f>(45.63+44.18+43.5+43.22+43.49+43.04+43.14+44.51+42.87+42.9+42.77+42.88+42.58+43.16+43.89+43.05+43.36+43.24+43.48+43.57+43.3+43.04+42.81+42.54+44.23+43.21+43.13+42.95)/28</f>
        <v>43.345357142857146</v>
      </c>
      <c r="G9" s="3">
        <v>125</v>
      </c>
      <c r="H9" s="3">
        <f t="shared" si="1"/>
        <v>29</v>
      </c>
      <c r="I9" s="63">
        <v>6.5775462962962966E-2</v>
      </c>
      <c r="J9" s="63">
        <f t="shared" ref="J9:J15" si="2">I9-I8</f>
        <v>1.5358796296296301E-2</v>
      </c>
      <c r="K9" s="67">
        <f>J9+K6</f>
        <v>3.1631944444444449E-2</v>
      </c>
      <c r="L9" s="186">
        <f t="shared" si="0"/>
        <v>0.57535714285714334</v>
      </c>
      <c r="M9" s="194"/>
    </row>
    <row r="10" spans="1:14" s="2" customFormat="1" ht="30" customHeight="1" thickBot="1">
      <c r="A10" s="392"/>
      <c r="B10" s="6">
        <v>5</v>
      </c>
      <c r="C10" s="3" t="s">
        <v>183</v>
      </c>
      <c r="D10" s="72">
        <v>10</v>
      </c>
      <c r="E10" s="206">
        <v>43.26</v>
      </c>
      <c r="F10" s="73">
        <f>(44.99+44.06+45.72+44.18+43.98+44.65+43.79+43.37+43.91+43.45+43.81+43.53+43.95+44.31+44.23+43.55+43.61+43.95+43.26+43.28+43.72+44.42+44.63+44.08+44.58+43.56+43.59)/27</f>
        <v>44.005925925925922</v>
      </c>
      <c r="G10" s="3">
        <v>154</v>
      </c>
      <c r="H10" s="3">
        <f t="shared" si="1"/>
        <v>29</v>
      </c>
      <c r="I10" s="63">
        <v>8.2256944444444438E-2</v>
      </c>
      <c r="J10" s="63">
        <f t="shared" si="2"/>
        <v>1.6481481481481472E-2</v>
      </c>
      <c r="K10" s="67">
        <f>J10+K7</f>
        <v>3.3425925925925921E-2</v>
      </c>
      <c r="L10" s="186">
        <f t="shared" si="0"/>
        <v>0.7459259259259241</v>
      </c>
      <c r="M10" s="194"/>
    </row>
    <row r="11" spans="1:14" s="2" customFormat="1" ht="30" customHeight="1" thickBot="1">
      <c r="A11" s="392"/>
      <c r="B11" s="6">
        <v>6</v>
      </c>
      <c r="C11" s="3" t="s">
        <v>26</v>
      </c>
      <c r="D11" s="72">
        <v>13</v>
      </c>
      <c r="E11" s="203">
        <v>41.52</v>
      </c>
      <c r="F11" s="73">
        <f>(42.8+42.09+42.08+43.04+41.73+42.02+42.02+42.34+41.89+41.78+41.85+41.8+41.75+43.3+41.79+41.91+42.04+41.79+41.76+41.6+41.79+41.74+43.26+42+41.92+41.84+41.01+41.78+41.8+41.6+41.79+42.45+42.63+41.83+41.9+41.84+41.81+41.7+42.03+41.52+42.04+42.7+41.84)/43</f>
        <v>42.004651162790687</v>
      </c>
      <c r="G11" s="3">
        <v>198</v>
      </c>
      <c r="H11" s="3">
        <f t="shared" si="1"/>
        <v>44</v>
      </c>
      <c r="I11" s="63">
        <v>0.10439814814814814</v>
      </c>
      <c r="J11" s="63">
        <f t="shared" si="2"/>
        <v>2.2141203703703705E-2</v>
      </c>
      <c r="K11" s="67">
        <f>J11+K8</f>
        <v>3.9340277777777773E-2</v>
      </c>
      <c r="L11" s="188">
        <f t="shared" si="0"/>
        <v>0.48465116279068354</v>
      </c>
      <c r="M11" s="194"/>
    </row>
    <row r="12" spans="1:14" s="2" customFormat="1" ht="30" customHeight="1" thickBot="1">
      <c r="A12" s="392"/>
      <c r="B12" s="6">
        <v>7</v>
      </c>
      <c r="C12" s="3" t="s">
        <v>24</v>
      </c>
      <c r="D12" s="72">
        <v>10</v>
      </c>
      <c r="E12" s="206">
        <v>42.73</v>
      </c>
      <c r="F12" s="73">
        <f>(44.81+43.89+43.13+43.11+43.2+42.92+43.92+43.44+43.94+44.62+43.81+42.78+43.53+43.82+42.87+42.83+43.33+42.86+43.05+42.97+43.32+43.1+43.22+43.22+43.58+43.2+42.86+44.16+43.91+42.73+43.41+43.49)/32</f>
        <v>43.407187500000013</v>
      </c>
      <c r="G12" s="3">
        <v>231</v>
      </c>
      <c r="H12" s="3">
        <f>G12-G11</f>
        <v>33</v>
      </c>
      <c r="I12" s="63">
        <v>0.12172453703703705</v>
      </c>
      <c r="J12" s="63">
        <f t="shared" si="2"/>
        <v>1.7326388888888905E-2</v>
      </c>
      <c r="K12" s="67">
        <f>J12+K9</f>
        <v>4.8958333333333354E-2</v>
      </c>
      <c r="L12" s="186">
        <f t="shared" si="0"/>
        <v>0.67718750000001648</v>
      </c>
      <c r="M12" s="194"/>
    </row>
    <row r="13" spans="1:14" s="2" customFormat="1" ht="30" customHeight="1" thickBot="1">
      <c r="A13" s="392"/>
      <c r="B13" s="6">
        <v>8</v>
      </c>
      <c r="C13" s="3" t="s">
        <v>183</v>
      </c>
      <c r="D13" s="72">
        <v>5</v>
      </c>
      <c r="E13" s="203">
        <v>42.55</v>
      </c>
      <c r="F13" s="73">
        <f>(44.49+43.64+42.89+42.94+43.43+43.11+42.68+43.06+43.35+43.13+43.35+42.89+42.55+43.25+42.93+42.9+43.62+43.29+42.93+42.91+43.07+43.36+42.59+43.77+43.98+43.91+43.4+43.48)/28</f>
        <v>43.246428571428574</v>
      </c>
      <c r="G13" s="3">
        <v>261</v>
      </c>
      <c r="H13" s="3">
        <f>G13-G12</f>
        <v>30</v>
      </c>
      <c r="I13" s="63">
        <v>0.1380787037037037</v>
      </c>
      <c r="J13" s="63">
        <f t="shared" si="2"/>
        <v>1.6354166666666656E-2</v>
      </c>
      <c r="K13" s="65">
        <f t="shared" ref="K13:K14" si="3">J13+K10</f>
        <v>4.9780092592592577E-2</v>
      </c>
      <c r="L13" s="186">
        <f t="shared" si="0"/>
        <v>0.6964285714285765</v>
      </c>
      <c r="M13" s="200">
        <f>AVERAGE(L7,L10,L13)</f>
        <v>0.8829353700859125</v>
      </c>
      <c r="N13" s="2" t="s">
        <v>190</v>
      </c>
    </row>
    <row r="14" spans="1:14" s="2" customFormat="1" ht="30" customHeight="1">
      <c r="A14" s="392"/>
      <c r="B14" s="6">
        <v>9</v>
      </c>
      <c r="C14" s="3" t="s">
        <v>26</v>
      </c>
      <c r="D14" s="72">
        <v>4</v>
      </c>
      <c r="E14" s="206">
        <v>42.06</v>
      </c>
      <c r="F14" s="73">
        <f>(48.11+42.36+42.72+42.5+43+42.06+42.35+43.41+42.15+42.27+42.35+42.23+42.42+42.23+43.27+43.47+42.46+43.6+42.3+42.29+42.29+42.68+42.41+42.17+42.51+42.22+42.71+42.26+42.25+42.67)/30</f>
        <v>42.724000000000004</v>
      </c>
      <c r="G14" s="3">
        <v>292</v>
      </c>
      <c r="H14" s="74">
        <f>G14-G13</f>
        <v>31</v>
      </c>
      <c r="I14" s="63">
        <v>0.15414351851851851</v>
      </c>
      <c r="J14" s="63">
        <f t="shared" si="2"/>
        <v>1.606481481481481E-2</v>
      </c>
      <c r="K14" s="65">
        <f t="shared" si="3"/>
        <v>5.5405092592592582E-2</v>
      </c>
      <c r="L14" s="186">
        <f t="shared" si="0"/>
        <v>0.66400000000000148</v>
      </c>
      <c r="M14" s="200">
        <f>AVERAGE(L8,L11,L14)</f>
        <v>0.79538372093022736</v>
      </c>
      <c r="N14" s="2" t="s">
        <v>189</v>
      </c>
    </row>
    <row r="15" spans="1:14" s="2" customFormat="1" ht="30" customHeight="1" thickBot="1">
      <c r="A15" s="392"/>
      <c r="B15" s="270" t="s">
        <v>13</v>
      </c>
      <c r="C15" s="195" t="s">
        <v>24</v>
      </c>
      <c r="D15" s="195">
        <v>5</v>
      </c>
      <c r="E15" s="272">
        <v>42.59</v>
      </c>
      <c r="F15" s="196">
        <f>(44.55+43.75+43.45+42.63+43.27+43.14+43.87+42.97+42.64+43.26+42.67+43.6+43.3+43.35+43.81+43.44+42.59+42.87+43.59+42.91+42.91+42.86+42.78+43.39+43.02+43.35)/26</f>
        <v>43.229615384615386</v>
      </c>
      <c r="G15" s="195">
        <v>319</v>
      </c>
      <c r="H15" s="195">
        <f>G15-G14</f>
        <v>27</v>
      </c>
      <c r="I15" s="197">
        <v>0.1673611111111111</v>
      </c>
      <c r="J15" s="197">
        <f t="shared" si="2"/>
        <v>1.3217592592592586E-2</v>
      </c>
      <c r="K15" s="219">
        <f>J15+K12</f>
        <v>6.217592592592594E-2</v>
      </c>
      <c r="L15" s="199">
        <f t="shared" si="0"/>
        <v>0.63961538461538225</v>
      </c>
      <c r="M15" s="201">
        <f>AVERAGE(L6,L9,L12,L15)</f>
        <v>0.65614345514399552</v>
      </c>
      <c r="N15" s="2" t="s">
        <v>188</v>
      </c>
    </row>
    <row r="16" spans="1:14" ht="29.25" customHeight="1" thickBot="1">
      <c r="A16" s="393"/>
      <c r="B16" s="385" t="s">
        <v>127</v>
      </c>
      <c r="C16" s="386"/>
      <c r="D16" s="386"/>
      <c r="E16" s="204">
        <f>AVERAGE(E6:E15)</f>
        <v>42.497</v>
      </c>
      <c r="F16" s="205">
        <f>AVERAGE(F6:F15)</f>
        <v>43.262953109362442</v>
      </c>
      <c r="G16" s="47"/>
      <c r="H16" s="47"/>
      <c r="I16" s="47"/>
      <c r="J16" s="47"/>
      <c r="K16" s="47"/>
      <c r="L16" s="47"/>
      <c r="M16" s="47"/>
      <c r="N16" s="2"/>
    </row>
    <row r="18" spans="1:1" ht="15.75">
      <c r="A18" s="209" t="s">
        <v>191</v>
      </c>
    </row>
  </sheetData>
  <mergeCells count="15">
    <mergeCell ref="A6:A16"/>
    <mergeCell ref="B16:D16"/>
    <mergeCell ref="A4:A5"/>
    <mergeCell ref="B4:B5"/>
    <mergeCell ref="C4:C5"/>
    <mergeCell ref="D4:D5"/>
    <mergeCell ref="J4:K4"/>
    <mergeCell ref="A1:M1"/>
    <mergeCell ref="A3:M3"/>
    <mergeCell ref="H4:H5"/>
    <mergeCell ref="L4:M4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2:H58"/>
  <sheetViews>
    <sheetView topLeftCell="A10" workbookViewId="0">
      <selection activeCell="G23" sqref="G23"/>
    </sheetView>
  </sheetViews>
  <sheetFormatPr defaultRowHeight="15"/>
  <cols>
    <col min="1" max="1" width="6.42578125" customWidth="1"/>
    <col min="2" max="2" width="19.7109375" style="78" customWidth="1"/>
    <col min="3" max="3" width="18" style="1" customWidth="1"/>
    <col min="5" max="6" width="10.7109375" customWidth="1"/>
    <col min="8" max="8" width="9.140625" style="47"/>
  </cols>
  <sheetData>
    <row r="2" spans="1:8" ht="15.75">
      <c r="A2" s="84" t="s">
        <v>97</v>
      </c>
      <c r="B2" s="84" t="s">
        <v>2</v>
      </c>
      <c r="C2" s="84" t="s">
        <v>3</v>
      </c>
      <c r="D2" s="84" t="s">
        <v>90</v>
      </c>
      <c r="E2" s="84" t="s">
        <v>100</v>
      </c>
      <c r="F2" s="84" t="s">
        <v>109</v>
      </c>
      <c r="G2" s="84" t="s">
        <v>98</v>
      </c>
      <c r="H2" s="88" t="s">
        <v>99</v>
      </c>
    </row>
    <row r="3" spans="1:8" ht="15.75">
      <c r="A3" s="61">
        <v>1</v>
      </c>
      <c r="B3" s="81" t="s">
        <v>28</v>
      </c>
      <c r="C3" s="3" t="s">
        <v>17</v>
      </c>
      <c r="D3" s="85">
        <v>40.69</v>
      </c>
      <c r="E3" s="62">
        <f>(41.88+41.1+41.05+41.4+41.03+41.08+40.87+41.13+41.05+40.89+41.13+40.86+40.77+40.81+40.75+40.69+40.82+40.94+41.72+42.56+43.72+41.86+41.86+42.56+42.74+41.92+41.57+41.7)/28</f>
        <v>41.445</v>
      </c>
      <c r="F3" s="62">
        <f>E3-D3</f>
        <v>0.75500000000000256</v>
      </c>
      <c r="G3" s="3">
        <v>1</v>
      </c>
      <c r="H3" s="87">
        <v>32</v>
      </c>
    </row>
    <row r="4" spans="1:8" ht="15.75">
      <c r="A4" s="61">
        <v>2</v>
      </c>
      <c r="B4" s="81" t="s">
        <v>21</v>
      </c>
      <c r="C4" s="3" t="s">
        <v>22</v>
      </c>
      <c r="D4" s="3">
        <v>40.89</v>
      </c>
      <c r="E4" s="62">
        <f>(42.48+41.61+41.08+41.51+41.43+41.2+41.01+41.01+41.12+41.3+41.15+41+41.21+40.89+41.11+41.14+41.14+42.16+41.35+41.19+41.18+41.18+41.09+42.34+41.27+41.03+41.22+41.1+41.34+41.17+41.16+41.09+41.32+41.08+41.24+41.22+41.62+41.11+41.06+41.55+41.01+41.05+40.91+41.03+40.98+42.02+41.22+41.17+41.55+41.19+40.99+40.96+40.95+40.94+41.1+41.36+40.91+40.9+41.13)/59</f>
        <v>41.234406779661001</v>
      </c>
      <c r="F4" s="62">
        <f>E4-D4</f>
        <v>0.34440677966099997</v>
      </c>
      <c r="G4" s="3">
        <v>1</v>
      </c>
      <c r="H4" s="87">
        <v>60</v>
      </c>
    </row>
    <row r="5" spans="1:8" ht="15.75">
      <c r="A5" s="61">
        <v>3</v>
      </c>
      <c r="B5" s="81" t="s">
        <v>102</v>
      </c>
      <c r="C5" s="3" t="s">
        <v>22</v>
      </c>
      <c r="D5" s="3">
        <v>40.9</v>
      </c>
      <c r="E5" s="62">
        <f>(42.09+41.18+41.74+41.77+41.75+42.25+41.31+41.17+41.41+41.29+41.16+41.13+41.14+40.9+41.46+41.12+41.2+40.97+40.98+41.09)/20</f>
        <v>41.355500000000013</v>
      </c>
      <c r="F5" s="62">
        <f>E5-D5</f>
        <v>0.45550000000001489</v>
      </c>
      <c r="G5" s="3">
        <v>1</v>
      </c>
      <c r="H5" s="87">
        <v>22</v>
      </c>
    </row>
    <row r="6" spans="1:8" ht="15.75">
      <c r="A6" s="61">
        <v>4</v>
      </c>
      <c r="B6" s="81" t="s">
        <v>29</v>
      </c>
      <c r="C6" s="3" t="s">
        <v>18</v>
      </c>
      <c r="D6" s="85">
        <v>40.909999999999997</v>
      </c>
      <c r="E6" s="62">
        <f>(41.93+41.25+41.85+41.29+41.34+41.25+41.27+41.19+41.26+41.22+41.02+41.12+41.16+41.22+41.04+41.08+41.13+41.13+41.19+41.14+41.13+41.13+41.23+41.05+41.01+41.13+40.99+41.17+41.32+41+41.25+41.13+41.04+41.13+40.91+41.11+41.02+40.95+41.03+41.16+41.22+41.31+41+40.99+41.03+41.54+40.98+41.25+40.98+41.86+41.19+41.85+41.19+41.13+41.19)/55</f>
        <v>41.194181818181832</v>
      </c>
      <c r="F6" s="62">
        <f>E6-D6</f>
        <v>0.28418181818183541</v>
      </c>
      <c r="G6" s="3">
        <v>1</v>
      </c>
      <c r="H6" s="87">
        <v>56</v>
      </c>
    </row>
    <row r="7" spans="1:8" ht="15.75">
      <c r="A7" s="61">
        <v>5</v>
      </c>
      <c r="B7" s="81" t="s">
        <v>27</v>
      </c>
      <c r="C7" s="3" t="s">
        <v>17</v>
      </c>
      <c r="D7" s="85">
        <v>41.06</v>
      </c>
      <c r="E7" s="62">
        <f>(42.37+42.62+42.19+41.67+41.35+41.7+41.46+41.46+41.61+41.63+41.47+41.45+42.18+41.32+41.46+41.64+41.22+41.33+41.53+41.46+41.29+41.06+41.32+41.19+41.13+41.1+41.25+41.51+41.39+41.18+41.57+41.71+41.8+41.79+41.97+41.39+41.87+41.78+42.03+41.61+42.82+43.78+43.17+42.57+43.24+42.47)/46</f>
        <v>41.763260869565215</v>
      </c>
      <c r="F7" s="62">
        <f>E7-D7</f>
        <v>0.70326086956521294</v>
      </c>
      <c r="G7" s="3">
        <v>1</v>
      </c>
      <c r="H7" s="87">
        <v>48</v>
      </c>
    </row>
    <row r="8" spans="1:8" ht="15.75">
      <c r="A8" s="61">
        <v>6</v>
      </c>
      <c r="B8" s="81" t="s">
        <v>28</v>
      </c>
      <c r="C8" s="3" t="s">
        <v>17</v>
      </c>
      <c r="D8" s="3">
        <v>40.79</v>
      </c>
      <c r="E8" s="62">
        <f>(41.14+40.94+41.07+41.43+40.85+40.96+40.79+41.02+40.87+41.56+41.03+41.02+40.84+40.98+40.87+42.26+41.51+40.95+40.89+40.95)/20</f>
        <v>41.096500000000006</v>
      </c>
      <c r="F8" s="62">
        <f>E8-D8</f>
        <v>0.30650000000000688</v>
      </c>
      <c r="G8" s="3">
        <v>2</v>
      </c>
      <c r="H8" s="87">
        <v>21</v>
      </c>
    </row>
    <row r="9" spans="1:8" ht="15.75">
      <c r="A9" s="61">
        <v>7</v>
      </c>
      <c r="B9" s="81" t="s">
        <v>39</v>
      </c>
      <c r="C9" s="3" t="s">
        <v>101</v>
      </c>
      <c r="D9" s="3">
        <v>41.2</v>
      </c>
      <c r="E9" s="62">
        <f>(42.95+42.31+41.88+41.99+42.13+41.71+41.69+41.97+42.16+41.94+41.62+41.8+41.66+41.94+41.92+41.48+42.57+41.85+42.82+41.91+41.75+41.85+41.6+41.77)/24</f>
        <v>41.96958333333334</v>
      </c>
      <c r="F9" s="62">
        <f>E9-D9</f>
        <v>0.76958333333333684</v>
      </c>
      <c r="G9" s="3">
        <v>2</v>
      </c>
      <c r="H9" s="87">
        <v>26</v>
      </c>
    </row>
    <row r="10" spans="1:8" ht="15.75">
      <c r="A10" s="61">
        <v>8</v>
      </c>
      <c r="B10" s="81" t="s">
        <v>36</v>
      </c>
      <c r="C10" s="3" t="s">
        <v>96</v>
      </c>
      <c r="D10" s="3">
        <v>41.28</v>
      </c>
      <c r="E10" s="62">
        <f>(42.77+41.97+41.97+41.66+41.67+41.63+41.73+43+41.65+41.59+41.63+41.64+41.91+41.89+41.38+41.8+41.43+41.36+41.56+41.45+41.42+41.31+41.66+41.6+41.57+41.58+41.57+41.26+41.42+41.47+41.47+41.43+42.79+41.5+41.41+41.33+41.35+41.28+41.61+41.53+41.69+41.82+41.66+41.53+41.52+41.52+41.61+41.44+41.43+41.44+41.49+41.51+41.58+41.74+41.52+43.07+41.64+41.62+41.54+41.4+41.34+41.52+41.5+41.46)/64</f>
        <v>41.638124999999988</v>
      </c>
      <c r="F10" s="62">
        <f>E10-D10</f>
        <v>0.35812499999998693</v>
      </c>
      <c r="G10" s="3">
        <v>2</v>
      </c>
      <c r="H10" s="87">
        <v>65</v>
      </c>
    </row>
    <row r="11" spans="1:8" ht="15.75">
      <c r="A11" s="61">
        <v>9</v>
      </c>
      <c r="B11" s="86" t="s">
        <v>35</v>
      </c>
      <c r="C11" s="3" t="s">
        <v>20</v>
      </c>
      <c r="D11" s="3">
        <v>41.29</v>
      </c>
      <c r="E11" s="62">
        <f>(44.53+41.95+42.57+42.02+42.09+42.1+41.95+42.28+42.51+41.8+42.04+43.39+42.59+41.79+42.21+41.9+41.66+41.29+41.78+41.76+41.51+41.65+42.12+41.95+41.82+42.03+41.95+41.56+41.71+41.74+42.17+42.49+41.85+41.84+41.85+42.19+41.74+41.87+42.61+41.97+41.79+41.59+43.2+41.69+42.67+42.47+42.22+42.09+42.04+41.94+41.87+42.13+42.39+41.68+41.83+42.02+41.89+42.01+41.85+41.93+42.12+41.85+42.15+44.31+43.54+42.1)/66</f>
        <v>42.124242424242411</v>
      </c>
      <c r="F11" s="62">
        <f>E11-D11</f>
        <v>0.83424242424241157</v>
      </c>
      <c r="G11" s="3">
        <v>2</v>
      </c>
      <c r="H11" s="87">
        <v>68</v>
      </c>
    </row>
    <row r="12" spans="1:8" ht="15.75">
      <c r="A12" s="61">
        <v>10</v>
      </c>
      <c r="B12" s="81" t="s">
        <v>27</v>
      </c>
      <c r="C12" s="3" t="s">
        <v>17</v>
      </c>
      <c r="D12" s="3">
        <v>41.56</v>
      </c>
      <c r="E12" s="62">
        <f>(42.6+41.87+41.95+41.74+41.92+41.73+41.71+41.83+41.67+42.41+41.77+41.7+41.73+41.79+41.73+41.78+41.6+41.9+41.93+41.72+41.63+41.68+41.81+41.56+41.61+41.72+41.9+41.9+42.09+41.73+41.82+42.01+42.08+42.38+42.73+42.12+42.28+42.17+41.95+42.02+41.85+41.99+41.99+42.29+41.93+43.38+42.33+42.14+42.24+42.34)/50</f>
        <v>41.975000000000001</v>
      </c>
      <c r="F12" s="62">
        <f>E12-D12</f>
        <v>0.41499999999999915</v>
      </c>
      <c r="G12" s="3">
        <v>2</v>
      </c>
      <c r="H12" s="87">
        <v>51</v>
      </c>
    </row>
    <row r="13" spans="1:8" ht="15.75">
      <c r="A13" s="61">
        <v>11</v>
      </c>
      <c r="B13" s="81" t="s">
        <v>27</v>
      </c>
      <c r="C13" s="3" t="s">
        <v>17</v>
      </c>
      <c r="D13" s="3">
        <v>41.73</v>
      </c>
      <c r="E13" s="62">
        <f>(42.47+42.1+42.24+41.86+41.79+42+41.98+41.84+41.86+41.73+41.79+41.78+41.21+41.98+42.08+42.09+42.18+42.2+42.14+42.41+42.13+42.62+42.8)/23</f>
        <v>42.055652173913046</v>
      </c>
      <c r="F13" s="62">
        <f>E13-D13</f>
        <v>0.32565217391304913</v>
      </c>
      <c r="G13" s="3">
        <v>2</v>
      </c>
      <c r="H13" s="87">
        <v>24</v>
      </c>
    </row>
    <row r="14" spans="1:8" ht="15.75">
      <c r="A14" s="61">
        <v>12</v>
      </c>
      <c r="B14" s="81" t="s">
        <v>102</v>
      </c>
      <c r="C14" s="3" t="s">
        <v>22</v>
      </c>
      <c r="D14" s="3">
        <v>41.04</v>
      </c>
      <c r="E14" s="62">
        <f>(42.22+41.75+41.65+41.4+41.25+41.41+41.29+41.27+41.64+41.04+41.23+41.16+41.58+41.24+41.19+41.29+41.18+41.26+41.15+41.45+41.35+41.25+41.35+41.6+41.23+42.34+41.56+41.42+41.69+41.42+41.43+41.33+41.23+41.57+41.32)/35</f>
        <v>41.421142857142854</v>
      </c>
      <c r="F14" s="62">
        <f>E14-D14</f>
        <v>0.38114285714285501</v>
      </c>
      <c r="G14" s="3">
        <v>3</v>
      </c>
      <c r="H14" s="87">
        <v>36</v>
      </c>
    </row>
    <row r="15" spans="1:8" ht="15.75">
      <c r="A15" s="61">
        <v>13</v>
      </c>
      <c r="B15" s="81" t="s">
        <v>29</v>
      </c>
      <c r="C15" s="3" t="s">
        <v>18</v>
      </c>
      <c r="D15" s="3">
        <v>41.04</v>
      </c>
      <c r="E15" s="62">
        <f>(42.91+41.65+41.33+41.62+41.48+41.09+41.17+41.09+41.23+41.28+41.35+41.19+41.04+41.51+41.26+41.18+41.18+41.33+41.38+41.41+41.19+41.71+41.29+41.4+41.2+41.18+42.02+41.18+41.33+41.53+41.42+41.44+41.37+41.9+41.51+42.58+41.35+41.69+41.37)/39</f>
        <v>41.444615384615375</v>
      </c>
      <c r="F15" s="62">
        <f>E15-D15</f>
        <v>0.40461538461537572</v>
      </c>
      <c r="G15" s="3">
        <v>3</v>
      </c>
      <c r="H15" s="87">
        <v>41</v>
      </c>
    </row>
    <row r="16" spans="1:8" ht="15.75">
      <c r="A16" s="61">
        <v>14</v>
      </c>
      <c r="B16" s="81" t="s">
        <v>29</v>
      </c>
      <c r="C16" s="3" t="s">
        <v>18</v>
      </c>
      <c r="D16" s="3">
        <v>41.26</v>
      </c>
      <c r="E16" s="62">
        <f>(42.68+42.14+41.58+41.57+41.51+41.51+41.48+41.47+41.33+41.45+41.5+41.38+41.26+41.5+41.42+41.92+41.68+42.19+41.48+41.52)/20</f>
        <v>41.628499999999988</v>
      </c>
      <c r="F16" s="62">
        <f>E16-D16</f>
        <v>0.36849999999999028</v>
      </c>
      <c r="G16" s="3">
        <v>3</v>
      </c>
      <c r="H16" s="87">
        <v>22</v>
      </c>
    </row>
    <row r="17" spans="1:8" ht="15.75">
      <c r="A17" s="61">
        <v>15</v>
      </c>
      <c r="B17" s="81" t="s">
        <v>30</v>
      </c>
      <c r="C17" s="3" t="s">
        <v>18</v>
      </c>
      <c r="D17" s="3">
        <v>41.42</v>
      </c>
      <c r="E17" s="62">
        <f>(42.79+42.39+42.22+42.32+42.15+41.65+41.48+42.04+41.51+41.76+41.82+41.75+41.77+41.45+41.7+41.56+41.43+41.88+41.42+42.17+42.6+42.47+42.7+43.18+44.2+41.83+42.14+44.91+42.19)/29</f>
        <v>42.188965517241385</v>
      </c>
      <c r="F17" s="62">
        <f>E17-D17</f>
        <v>0.76896551724138362</v>
      </c>
      <c r="G17" s="3">
        <v>3</v>
      </c>
      <c r="H17" s="87">
        <v>30</v>
      </c>
    </row>
    <row r="18" spans="1:8" ht="15.75">
      <c r="A18" s="61">
        <v>16</v>
      </c>
      <c r="B18" s="81" t="s">
        <v>32</v>
      </c>
      <c r="C18" s="3" t="s">
        <v>19</v>
      </c>
      <c r="D18" s="85">
        <v>41.56</v>
      </c>
      <c r="E18" s="62">
        <f>(43.98+42.85+42.35+42.36+42.07+42.31+42.19+42.2+43.42+41.83+41.85+41.04+41.98+42.07+41.96+41.75+42.52+41.99+43.42+42.2+42.19+41.86+42.14+42.26+41.92+43.13+42.64+42.55+41.56+42.04+41.82+42.07+41.73+41.71+41.71+42.15+41.79+42.19)/38</f>
        <v>42.205263157894748</v>
      </c>
      <c r="F18" s="62">
        <f>E18-D18</f>
        <v>0.64526315789474609</v>
      </c>
      <c r="G18" s="3">
        <v>3</v>
      </c>
      <c r="H18" s="87">
        <v>41</v>
      </c>
    </row>
    <row r="19" spans="1:8" ht="15.75">
      <c r="A19" s="61">
        <v>17</v>
      </c>
      <c r="B19" s="81" t="s">
        <v>40</v>
      </c>
      <c r="C19" s="3" t="s">
        <v>101</v>
      </c>
      <c r="D19" s="3">
        <v>41.61</v>
      </c>
      <c r="E19" s="62">
        <f>(42.88+42.04+42.29+41.82+42.45+43.4+41.93+41.82+41.87+41.61+41.94+41.72+41.92+42.55+41.7+41.62+41.68+42.3+41.9+41.74+41.72+41.82+42.79+41.62+41.76+41.71)/26</f>
        <v>42.023076923076921</v>
      </c>
      <c r="F19" s="62">
        <f>E19-D19</f>
        <v>0.41307692307692179</v>
      </c>
      <c r="G19" s="3">
        <v>3</v>
      </c>
      <c r="H19" s="87">
        <v>27</v>
      </c>
    </row>
    <row r="20" spans="1:8" ht="15.75">
      <c r="A20" s="61">
        <v>18</v>
      </c>
      <c r="B20" s="81" t="s">
        <v>37</v>
      </c>
      <c r="C20" s="3" t="s">
        <v>96</v>
      </c>
      <c r="D20" s="3">
        <v>41.28</v>
      </c>
      <c r="E20" s="62">
        <f>(42.87+42.17+42.45+41.7+41.48+41.57+41.52+41.38+41.56+41.4+41.49+41.63+41.52+41.57+41.48+41.67+41.4+41.28+41.46+41.34+41.5+41.68+41.28+41.86+41.42+41.73+41.78+41.52+41.67)/29</f>
        <v>41.633793103448276</v>
      </c>
      <c r="F20" s="62">
        <f>E20-D20</f>
        <v>0.3537931034482753</v>
      </c>
      <c r="G20" s="3">
        <v>3</v>
      </c>
      <c r="H20" s="87">
        <v>30</v>
      </c>
    </row>
    <row r="21" spans="1:8" ht="15.75">
      <c r="A21" s="61">
        <v>19</v>
      </c>
      <c r="B21" s="81" t="s">
        <v>28</v>
      </c>
      <c r="C21" s="3" t="s">
        <v>17</v>
      </c>
      <c r="D21" s="3">
        <v>41.51</v>
      </c>
      <c r="E21" s="62">
        <f>(42.61+41.92+42.07+41.89+41.89+41.79+42.07+42.05+41.79+42.02+41.87+41.88+41.88+42.07+41.77+41.92+41.66+41.67+41.81+41.76+41.77+41.71+41.64+42.34+42+41.51+41.82+41.78+41.6+41.79+41.83+41.67+41.75+41.73+41.67+41.65+42.19+41.67+41.73+41.81+41.87+41.73+41.65+41.85+41.83+41.8+41.85+41.98+41.75+41.79+41.82+42.01+41.65+41.7+41.82)/55</f>
        <v>41.839090909090913</v>
      </c>
      <c r="F21" s="62">
        <f>E21-D21</f>
        <v>0.32909090909091532</v>
      </c>
      <c r="G21" s="3">
        <v>4</v>
      </c>
      <c r="H21" s="87">
        <v>56</v>
      </c>
    </row>
    <row r="22" spans="1:8" ht="15.75">
      <c r="A22" s="61">
        <v>20</v>
      </c>
      <c r="B22" s="81" t="s">
        <v>31</v>
      </c>
      <c r="C22" s="3" t="s">
        <v>19</v>
      </c>
      <c r="D22" s="3">
        <v>41.89</v>
      </c>
      <c r="E22" s="62">
        <f>(43.34+42.39+42.46+42.33+42.19+42.11+42.21+42.19+42.11+42+41.99+41.94+42.73+42.04+43.1+42.19+42.99+41.89+41.95+42.5+42.47+43.28+42.97+44.39+42.27+41.99+48.35+43.74)/28</f>
        <v>42.718214285714282</v>
      </c>
      <c r="F22" s="62">
        <f>E22-D22</f>
        <v>0.82821428571428157</v>
      </c>
      <c r="G22" s="3">
        <v>4</v>
      </c>
      <c r="H22" s="87">
        <v>29</v>
      </c>
    </row>
    <row r="23" spans="1:8" ht="15.75">
      <c r="A23" s="61">
        <v>21</v>
      </c>
      <c r="B23" s="81" t="s">
        <v>30</v>
      </c>
      <c r="C23" s="3" t="s">
        <v>18</v>
      </c>
      <c r="D23" s="3">
        <v>41.93</v>
      </c>
      <c r="E23" s="62">
        <f>(43.92+42.57+42+42.11+42.26+43.34+41.98+42.3+42.24+41.94+42.3+42.19+42+42.49+42.09+42.21+41.98+42.09+42.11+42.17+41.93+42.33+42.25)/23</f>
        <v>42.295652173913048</v>
      </c>
      <c r="F23" s="62">
        <f>E23-D23</f>
        <v>0.36565217391304827</v>
      </c>
      <c r="G23" s="3">
        <v>4</v>
      </c>
      <c r="H23" s="87">
        <v>24</v>
      </c>
    </row>
    <row r="24" spans="1:8" ht="15.75">
      <c r="A24" s="61">
        <v>22</v>
      </c>
      <c r="B24" s="81" t="s">
        <v>31</v>
      </c>
      <c r="C24" s="3" t="s">
        <v>19</v>
      </c>
      <c r="D24" s="85">
        <v>41.31</v>
      </c>
      <c r="E24" s="62">
        <f>(44.39+42.45+41.98+41.96+41.99+41.58+41.66+41.9+41.79+41.91+41.31+41.48+41.72+41.8+41.47+41.35+42.17+43.27+41.67+41.63+41.73+42.25+42.12+42.16+41.83)/25</f>
        <v>41.982799999999997</v>
      </c>
      <c r="F24" s="62">
        <f>E24-D24</f>
        <v>0.67279999999999518</v>
      </c>
      <c r="G24" s="3">
        <v>5</v>
      </c>
      <c r="H24" s="87">
        <v>26</v>
      </c>
    </row>
    <row r="25" spans="1:8" ht="15.75">
      <c r="A25" s="61">
        <v>23</v>
      </c>
      <c r="B25" s="81" t="s">
        <v>40</v>
      </c>
      <c r="C25" s="3" t="s">
        <v>101</v>
      </c>
      <c r="D25" s="3">
        <v>41.53</v>
      </c>
      <c r="E25" s="62">
        <f>(43.06+42+42.3+42.56+42.42+42.23+42.1+43+42.03+41.91+42+42.02+41.89+41.92+41.53+41.88+41.98+41.83+41.86+41.7+41.94+42.15+42.98+41.86+41.81+42.28+41.72+41.81+41.83+41.99+41.88+41.91+41.98+41.02+42.11+41.83+41.97+42.2+41.85+41.88+41.95+42.04+42.03+42.87+42.03)/45</f>
        <v>42.047555555555554</v>
      </c>
      <c r="F25" s="62">
        <f>E25-D25</f>
        <v>0.51755555555555333</v>
      </c>
      <c r="G25" s="3">
        <v>5</v>
      </c>
      <c r="H25" s="87">
        <v>46</v>
      </c>
    </row>
    <row r="26" spans="1:8" ht="15.75">
      <c r="A26" s="61">
        <v>24</v>
      </c>
      <c r="B26" s="81" t="s">
        <v>32</v>
      </c>
      <c r="C26" s="3" t="s">
        <v>19</v>
      </c>
      <c r="D26" s="3">
        <v>41.85</v>
      </c>
      <c r="E26" s="62">
        <f>(43.65+42.81+42.48+42.93+42.51+42.12+42.41+42.05+42.12+42.26+42.05+41.85+41.91+42.32+43.45+42.18+42.67+42.54+42.22+42.25+42.53+41.88+42.18+44.52+42.3+42.98+42.41+42.37+42.21+42.63+42.01+42.03+42.25+42.91+44.27+42.34+42.58+42.44+42.7+42.6+43+42.27+43.14+42.5+42.21+42.42+42.4+42.26+42.32+42.91+42.22+42.61+42.61+42.12+43.07+42.87+42.11+43.46)/58</f>
        <v>42.541724137931034</v>
      </c>
      <c r="F26" s="62">
        <f>E26-D26</f>
        <v>0.6917241379310326</v>
      </c>
      <c r="G26" s="3">
        <v>5</v>
      </c>
      <c r="H26" s="87">
        <v>59</v>
      </c>
    </row>
    <row r="27" spans="1:8" ht="15.75">
      <c r="A27" s="61">
        <v>25</v>
      </c>
      <c r="B27" s="81" t="s">
        <v>34</v>
      </c>
      <c r="C27" s="3" t="s">
        <v>20</v>
      </c>
      <c r="D27" s="85">
        <v>40.880000000000003</v>
      </c>
      <c r="E27" s="62">
        <f>(41.22+41.19+41.44+41.86+41.33+41.22+41.33+40.97+41.05+41.04+41.04+41.71+41.19+41.22+41.08+41.1+41.08+41.29+41.37+41.23+41.09+41.13+41.2+41.02+40.88+41.11+41.1+41.36+41.49+41.23+41.17)/31</f>
        <v>41.217419354838711</v>
      </c>
      <c r="F27" s="62">
        <f>E27-D27</f>
        <v>0.33741935483870833</v>
      </c>
      <c r="G27" s="3">
        <v>6</v>
      </c>
      <c r="H27" s="87">
        <v>32</v>
      </c>
    </row>
    <row r="28" spans="1:8" ht="15.75">
      <c r="A28" s="61">
        <v>26</v>
      </c>
      <c r="B28" s="81" t="s">
        <v>21</v>
      </c>
      <c r="C28" s="3" t="s">
        <v>22</v>
      </c>
      <c r="D28" s="3">
        <v>41.24</v>
      </c>
      <c r="E28" s="62">
        <f>(42.19+43.33+41.69+41.6+41.73+41.97+41.33+41.66+41.59+41.54+41.3+41.4+41.55+41.46+41.63+41.38+41.43+41.35+41.46+41.85+41.32+41.47+41.27+41.35+41.41+41.66+41.24+41.66+41.61+41.84+41.62+41.48+41.34+41.49+41.45+41.63+41.82+42.38+41.43+41.64+41.32+41.64+41.32+41.47+41.5+41.36+41.5+41.36+41.52+41.37+41.66+41.74+41.96+41.4+41.86+41.28+41.78+41.75+41.35+42.12+42.36+41.62)/62</f>
        <v>41.609516129032265</v>
      </c>
      <c r="F28" s="62">
        <f>E28-D28</f>
        <v>0.36951612903226305</v>
      </c>
      <c r="G28" s="3">
        <v>6</v>
      </c>
      <c r="H28" s="87">
        <v>64</v>
      </c>
    </row>
    <row r="29" spans="1:8" ht="15.75">
      <c r="A29" s="61">
        <v>27</v>
      </c>
      <c r="B29" s="81" t="s">
        <v>29</v>
      </c>
      <c r="C29" s="3" t="s">
        <v>18</v>
      </c>
      <c r="D29" s="3">
        <v>41.24</v>
      </c>
      <c r="E29" s="62">
        <f>(42.72+41.71+41.68+41.61+41.62+41.56+41.94+41.43+41.58+41.53+41.65+41.42+41.44+41.31+41.35+41.41+41.38+41.31+41.67+41.28+41.52+41.28+41.36+41.52+41.46+41.3+41.3+41.33+41.39+41.36+41.24+41.5+41.39+41.33+41.3+42.5+41.39+41.65+41.38+41.54+41.32+41.45+41.45+41.56+41.43+41.48+41.52+41.45+41.38+41.53+41.52+41.53+41.39+41.45+41.34+41.45+41.35+41.47+41.81+41.8+41.58+41.66+42.13+41.72+41.74+41.73+41.82)/67</f>
        <v>41.532835820895521</v>
      </c>
      <c r="F29" s="62">
        <f>E29-D29</f>
        <v>0.29283582089551885</v>
      </c>
      <c r="G29" s="3">
        <v>6</v>
      </c>
      <c r="H29" s="87">
        <v>68</v>
      </c>
    </row>
    <row r="30" spans="1:8" ht="15.75">
      <c r="A30" s="61">
        <v>28</v>
      </c>
      <c r="B30" s="81" t="s">
        <v>33</v>
      </c>
      <c r="C30" s="3" t="s">
        <v>20</v>
      </c>
      <c r="D30" s="3">
        <v>41.37</v>
      </c>
      <c r="E30" s="62">
        <f>(42.37+41.55+41.83+41.98+41.46+41.68+41.79+41.52+41.75+42.16+42+41.66+41.79+41.7+41.49+42.87+41.92+41.53+41.63+41.57+41.87+41.83+41.61+41.87+41.53+41.55+41.57+41.49+41.37)/29</f>
        <v>41.756551724137928</v>
      </c>
      <c r="F30" s="62">
        <f>E30-D30</f>
        <v>0.38655172413793082</v>
      </c>
      <c r="G30" s="3">
        <v>6</v>
      </c>
      <c r="H30" s="87">
        <v>30</v>
      </c>
    </row>
    <row r="31" spans="1:8" ht="15.75">
      <c r="A31" s="61">
        <v>29</v>
      </c>
      <c r="B31" s="86" t="s">
        <v>40</v>
      </c>
      <c r="C31" s="3" t="s">
        <v>101</v>
      </c>
      <c r="D31" s="3">
        <v>41.54</v>
      </c>
      <c r="E31" s="62">
        <f>(44.05+42.48+42.17+42.19+41.95+42.04+42.01+42.7+42.01+41.98+41.82+41.86+41.93+41.98+41.93+41.89+41.89+41.89+41.86+41.67+41.72+41.66+42.04+41.78+41.54+42.02+42.34+42.06+42.02+41.88+42.22+41.85+41.78+41.7+41.99+42.23+43.59+41.93+41.83+41.88+41.99+42.04+41.84+41.93+42.61+42.18+42.41+42.13+42.18+42.09+43.27+41.88+41.89+42.36+42.73)/55</f>
        <v>42.107090909090907</v>
      </c>
      <c r="F31" s="62">
        <f>E31-D31</f>
        <v>0.56709090909090776</v>
      </c>
      <c r="G31" s="3">
        <v>6</v>
      </c>
      <c r="H31" s="87">
        <v>60</v>
      </c>
    </row>
    <row r="32" spans="1:8" ht="15.75">
      <c r="A32" s="61">
        <v>30</v>
      </c>
      <c r="B32" s="81" t="s">
        <v>36</v>
      </c>
      <c r="C32" s="3" t="s">
        <v>96</v>
      </c>
      <c r="D32" s="3">
        <v>41.66</v>
      </c>
      <c r="E32" s="62">
        <f>(42.96+42.4+43.18+42.28+42.24+41.91+41.77+41.98+41.78+41.92+41.92+41.76+41.92+41.91+41.7+41.89+41.95+41.66+41.7+41.85+41.79+41.81+41.71+42.12)/24</f>
        <v>42.004583333333336</v>
      </c>
      <c r="F32" s="62">
        <f>E32-D32</f>
        <v>0.34458333333333968</v>
      </c>
      <c r="G32" s="3">
        <v>6</v>
      </c>
      <c r="H32" s="87">
        <v>25</v>
      </c>
    </row>
    <row r="33" spans="1:8" ht="15.75">
      <c r="A33" s="61">
        <v>31</v>
      </c>
      <c r="B33" s="86" t="s">
        <v>27</v>
      </c>
      <c r="C33" s="3" t="s">
        <v>17</v>
      </c>
      <c r="D33" s="85">
        <v>41.06</v>
      </c>
      <c r="E33" s="62">
        <f>(42.32+41.68+41.82+41.65+41.38+41.47+41.46+41.4+41.81+41.64+41.77+41.72+41.22+41.23+41.29+41.37+41.22+41.35+42.61+41.38+41.51+41.6+41.44+41.2+41.47+41.36+41.06+41.18+41.22+41.7+41.16+41.4+41.32+41.32+41.18+41.34+41.38+41.21+42.18+41.57+41.52+41.35+41.47+43.71+41.75)/45</f>
        <v>41.542000000000002</v>
      </c>
      <c r="F33" s="62">
        <f>E33-D33</f>
        <v>0.48199999999999932</v>
      </c>
      <c r="G33" s="3">
        <v>9</v>
      </c>
      <c r="H33" s="87">
        <v>47</v>
      </c>
    </row>
    <row r="34" spans="1:8" ht="15.75">
      <c r="A34" s="61">
        <v>32</v>
      </c>
      <c r="B34" s="81" t="s">
        <v>39</v>
      </c>
      <c r="C34" s="3" t="s">
        <v>101</v>
      </c>
      <c r="D34" s="85">
        <v>41.11</v>
      </c>
      <c r="E34" s="62">
        <f>(43.42+41.59+41.76+41.8+41.74+42.46+41.4+41.3+41.39+41.58+41.14+41.4+41.54+41.26+41.3+42.34+41.27+41.11+41.57+41.25+41.17+41.43+41.23+41.53+41.37+41.34+41.51+41.39+41.46+41.7+41.58+41.34+41.85+41.55+41.66+41.53+41.52+41.89+41.91+41.67+41.57+41.53+41.68+41.66+41.78+41.24+41.36+41.29+41.66+41.56+42.41+41.83+42.02+41.62+42.08+41.66+41.59+42.13+41.68+42.62+41.96+41.74+41.93+41.89+42.12+42.14+41.93)/67</f>
        <v>41.670597014925349</v>
      </c>
      <c r="F34" s="62">
        <f>E34-D34</f>
        <v>0.56059701492534941</v>
      </c>
      <c r="G34" s="3">
        <v>9</v>
      </c>
      <c r="H34" s="87">
        <v>66</v>
      </c>
    </row>
    <row r="35" spans="1:8" ht="15.75">
      <c r="A35" s="61">
        <v>33</v>
      </c>
      <c r="B35" s="81" t="s">
        <v>37</v>
      </c>
      <c r="C35" s="3" t="s">
        <v>96</v>
      </c>
      <c r="D35" s="85">
        <v>41.11</v>
      </c>
      <c r="E35" s="62">
        <f>(42.1+41.76+41.49+41.11+42.35+41.41+41.62+41.65+41.47+41.49+41.21+41.36+41.32+42.16+41.52+41.43+41.35+41.75+41.26+41.15+41.4+41.24+41.84+41.78+41.63+41.26+42.06+41.41+41.34+41.36+41.54+41.46+41.59+41.45+41.45+41.78+41.48+41.7+41.7+41.61+41.49+41.68+41.56+41.2+41.46+41.52+41.94+41.57+41.3+41.63+41.57+42+41.6+41.48+41.81)/55</f>
        <v>41.560909090909092</v>
      </c>
      <c r="F35" s="62">
        <f>E35-D35</f>
        <v>0.45090909090909292</v>
      </c>
      <c r="G35" s="3">
        <v>9</v>
      </c>
      <c r="H35" s="87">
        <v>57</v>
      </c>
    </row>
    <row r="36" spans="1:8" ht="15.75">
      <c r="A36" s="61">
        <v>34</v>
      </c>
      <c r="B36" s="81" t="s">
        <v>30</v>
      </c>
      <c r="C36" s="3" t="s">
        <v>18</v>
      </c>
      <c r="D36" s="85">
        <v>41.2</v>
      </c>
      <c r="E36" s="62">
        <f>(42.82+42.23+41.8+41.75+41.99+42.18+41.78+41.7+41.63+41.73+41.85+41.38+41.93+41.35+41.39+41.48+41.41+41.57+41.54+41.55+41.76+41.54+41.67+41.6+41.43+41.23+41.76+41.61+41.92+42.43+41.51+41.71+41.59+41.43+41.56+41.42+41.52+41.81+41.5+41.67+41.48+41.59+41.43+41.54+41.6+41.47+41.52+41.69+42.32+41.52+41.62+41.58+41.42+41.91+41.71+42.85+41.52+41.36+41.88+41.5+41.2+42.48+41.92+41.87+41.67+41.54+41.61)/67</f>
        <v>41.694477611940293</v>
      </c>
      <c r="F36" s="62">
        <f>E36-D36</f>
        <v>0.49447761194029027</v>
      </c>
      <c r="G36" s="3">
        <v>9</v>
      </c>
      <c r="H36" s="87">
        <v>68</v>
      </c>
    </row>
    <row r="37" spans="1:8" ht="15.75">
      <c r="A37" s="61">
        <v>35</v>
      </c>
      <c r="B37" s="86" t="s">
        <v>30</v>
      </c>
      <c r="C37" s="3" t="s">
        <v>18</v>
      </c>
      <c r="D37" s="3">
        <v>41.59</v>
      </c>
      <c r="E37" s="62">
        <f>(43.69+42.63+42.91+42.09+42.13+42.01+42+42.07+41.92+41.99+42.02+42.69+42.13+41.93+41.96+41.85+41.94+41.66+42.2+41.96+41.59+42.11+41.89+41.82)/24</f>
        <v>42.132916666666674</v>
      </c>
      <c r="F37" s="62">
        <f>E37-D37</f>
        <v>0.54291666666667027</v>
      </c>
      <c r="G37" s="3">
        <v>10</v>
      </c>
      <c r="H37" s="87">
        <v>25</v>
      </c>
    </row>
    <row r="38" spans="1:8" ht="15.75">
      <c r="A38" s="61">
        <v>36</v>
      </c>
      <c r="B38" s="81" t="s">
        <v>102</v>
      </c>
      <c r="C38" s="3" t="s">
        <v>22</v>
      </c>
      <c r="D38" s="3">
        <v>41.67</v>
      </c>
      <c r="E38" s="62">
        <f>(42.68+42.21+42.22+42.28+42.14+42.13+42.31+42.77+41.69+41.97+42.03+41.84+43.21+42.05+42.18+41.99+42.29+42.85+42.16+42.01+42.89+41.67+42.34+41.98+42.14)/25</f>
        <v>42.241199999999999</v>
      </c>
      <c r="F38" s="62">
        <f>E38-D38</f>
        <v>0.57119999999999749</v>
      </c>
      <c r="G38" s="3">
        <v>10</v>
      </c>
      <c r="H38" s="87">
        <v>26</v>
      </c>
    </row>
    <row r="39" spans="1:8" ht="15.75">
      <c r="A39" s="61">
        <v>37</v>
      </c>
      <c r="B39" s="81" t="s">
        <v>39</v>
      </c>
      <c r="C39" s="3" t="s">
        <v>101</v>
      </c>
      <c r="D39" s="3">
        <v>41.76</v>
      </c>
      <c r="E39" s="62">
        <f>(43.64+42.31+42.14+42.27+42.55+42.42+41.91+42.28+42.03+42.37+42.03+41.99+41.78+42.34+42.51+41.88+42.14+42.06+42.18+41.9+42.1+41.91+42.4+41.88+41.76+42.63+42.11)/27</f>
        <v>42.204444444444434</v>
      </c>
      <c r="F39" s="62">
        <f>E39-D39</f>
        <v>0.44444444444443576</v>
      </c>
      <c r="G39" s="3">
        <v>10</v>
      </c>
      <c r="H39" s="87">
        <v>28</v>
      </c>
    </row>
    <row r="40" spans="1:8" ht="15.75">
      <c r="A40" s="61">
        <v>38</v>
      </c>
      <c r="B40" s="86" t="s">
        <v>36</v>
      </c>
      <c r="C40" s="3" t="s">
        <v>96</v>
      </c>
      <c r="D40" s="3">
        <v>41.89</v>
      </c>
      <c r="E40" s="62">
        <f>(42.78+42.23+41.81+42.3+41.97+41.86+44.23+42.73+42.15+42.01+41.99+42.06+42.06+41.94+42.02+42.03+42.26+41.99+41.89+41.92)/20</f>
        <v>42.211500000000001</v>
      </c>
      <c r="F40" s="62">
        <f>E40-D40</f>
        <v>0.32150000000000034</v>
      </c>
      <c r="G40" s="3">
        <v>10</v>
      </c>
      <c r="H40" s="87">
        <v>24</v>
      </c>
    </row>
    <row r="41" spans="1:8" ht="15.75">
      <c r="A41" s="61">
        <v>39</v>
      </c>
      <c r="B41" s="81" t="s">
        <v>37</v>
      </c>
      <c r="C41" s="3" t="s">
        <v>96</v>
      </c>
      <c r="D41" s="3">
        <v>41.32</v>
      </c>
      <c r="E41" s="62">
        <f>(42.24+41.65+41.79+41.97+42.63+41.32+41.85+41.95+41.59+41.64+41.77+41.8+41.61+41.63+41.89+41.65+41.67+41.56+42.16)/19</f>
        <v>41.808947368421038</v>
      </c>
      <c r="F41" s="62">
        <f>E41-D41</f>
        <v>0.48894736842103725</v>
      </c>
      <c r="G41" s="3">
        <v>11</v>
      </c>
      <c r="H41" s="87">
        <v>20</v>
      </c>
    </row>
    <row r="42" spans="1:8" ht="15.75">
      <c r="A42" s="61">
        <v>40</v>
      </c>
      <c r="B42" s="81" t="s">
        <v>33</v>
      </c>
      <c r="C42" s="3" t="s">
        <v>20</v>
      </c>
      <c r="D42" s="3">
        <v>41.53</v>
      </c>
      <c r="E42" s="62">
        <f>(43.14+42.3+42.27+41.94+41.98+42.1+41.66+41.75+41.9+41.75+41.86+41.95+41.8+41.88+41.57+41.62+41.93+41.81+41.6+41.73+42.61+41.83+41.53+41.71+41.76+41.81+42.06+41.93+41.8+41.84)/30</f>
        <v>41.914000000000001</v>
      </c>
      <c r="F42" s="62">
        <f>E42-D42</f>
        <v>0.38400000000000034</v>
      </c>
      <c r="G42" s="3">
        <v>11</v>
      </c>
      <c r="H42" s="87">
        <v>31</v>
      </c>
    </row>
    <row r="43" spans="1:8" ht="15.75">
      <c r="A43" s="61">
        <v>41</v>
      </c>
      <c r="B43" s="81" t="s">
        <v>32</v>
      </c>
      <c r="C43" s="3" t="s">
        <v>19</v>
      </c>
      <c r="D43" s="3">
        <v>42.02</v>
      </c>
      <c r="E43" s="62">
        <f>(43.86+43.62+42.6+42.33+42.57+42.34+42.41+42.32+42.23+42.69+42.87+42.45+42.19+42.6+42.19+42.02+42.31+42.93+42.52+42.23+42.36+43.25+42.62+42.77)/24</f>
        <v>42.594999999999992</v>
      </c>
      <c r="F43" s="62">
        <f>E43-D43</f>
        <v>0.57499999999998863</v>
      </c>
      <c r="G43" s="3">
        <v>11</v>
      </c>
      <c r="H43" s="87">
        <v>26</v>
      </c>
    </row>
    <row r="44" spans="1:8" ht="15.75">
      <c r="A44" s="61">
        <v>42</v>
      </c>
      <c r="B44" s="81" t="s">
        <v>21</v>
      </c>
      <c r="C44" s="3" t="s">
        <v>22</v>
      </c>
      <c r="D44" s="85">
        <v>40.83</v>
      </c>
      <c r="E44" s="62">
        <f>(42.96+41.16+41.6+41.13+41.49+41.14+41.29+41.23+41.07+41.08+41.13+41.21+41.12+41.25+41.26+42.09+40.85+41.14+41.25+41.42+41+40.94+41.11+40.88+40.88+40.83+40.96+41.2+41.76+42.75+43.14+42.15+41.97+42.53+43.74+42.28+41.41+41.33+41.49)/39</f>
        <v>41.518461538461544</v>
      </c>
      <c r="F44" s="62">
        <f>E44-D44</f>
        <v>0.68846153846154579</v>
      </c>
      <c r="G44" s="3">
        <v>13</v>
      </c>
      <c r="H44" s="87">
        <v>41</v>
      </c>
    </row>
    <row r="45" spans="1:8" ht="15.75">
      <c r="A45" s="61">
        <v>43</v>
      </c>
      <c r="B45" s="81" t="s">
        <v>102</v>
      </c>
      <c r="C45" s="3" t="s">
        <v>22</v>
      </c>
      <c r="D45" s="85">
        <v>40.869999999999997</v>
      </c>
      <c r="E45" s="62">
        <f>(44.04+42.14+41.24+41.25+41.23+41.08+41.86+41.43+41.2+41.1+41.12+41.35+41.49+41.05+41.19+41.4+40.87+41.1+41.03+41.18+41.44+41.03+41.07+41.11+41.24+41.09+42.29+40.99+41.23+41.67+41.4+41.37+41.49+41.78+41.48+41.81)/36</f>
        <v>41.412222222222219</v>
      </c>
      <c r="F45" s="62">
        <f>E45-D45</f>
        <v>0.54222222222222172</v>
      </c>
      <c r="G45" s="3">
        <v>13</v>
      </c>
      <c r="H45" s="87">
        <v>37</v>
      </c>
    </row>
    <row r="46" spans="1:8" ht="15.75">
      <c r="A46" s="61">
        <v>44</v>
      </c>
      <c r="B46" s="81" t="s">
        <v>34</v>
      </c>
      <c r="C46" s="3" t="s">
        <v>20</v>
      </c>
      <c r="D46" s="3">
        <v>40.89</v>
      </c>
      <c r="E46" s="62">
        <f>(41.96+41.2+41.32+41.23+41.13+41.22+41.2+41.08+41.09+41.18+41.81+41.04+40.97+40.99+41+41.26+40.89+41.13+41.07+41.01+41.25+40.92+41.01+41.17+41.1+41.04)/26</f>
        <v>41.164230769230763</v>
      </c>
      <c r="F46" s="62">
        <f>E46-D46</f>
        <v>0.27423076923076195</v>
      </c>
      <c r="G46" s="3">
        <v>13</v>
      </c>
      <c r="H46" s="87">
        <v>27</v>
      </c>
    </row>
    <row r="47" spans="1:8" ht="15.75">
      <c r="A47" s="61">
        <v>45</v>
      </c>
      <c r="B47" s="81" t="s">
        <v>36</v>
      </c>
      <c r="C47" s="3" t="s">
        <v>96</v>
      </c>
      <c r="D47" s="85">
        <v>41.15</v>
      </c>
      <c r="E47" s="62">
        <f>(42.5+41.89+41.65+41.36+41.7+41.9+41.63+41.44+41.53+41.6+41.39+41.35+41.53+42.05+41.48+41.61+41.38+41.29+41.55+41.93+41.55+41.41+41.28+41.54+41.37+41.33+41.41+41.36+41.42+41.47+41.39+41.7+41.46+41.39+41.56+41.53+41.62+41.2+41.69+41.43+41.33+41.53+41.54+41.39+41.23+41.24+41.15+41.28+41.22+41.5+41.21+41.42+41.66)/53</f>
        <v>41.501320754716978</v>
      </c>
      <c r="F47" s="62">
        <f>E47-D47</f>
        <v>0.35132075471697988</v>
      </c>
      <c r="G47" s="3">
        <v>13</v>
      </c>
      <c r="H47" s="87">
        <v>54</v>
      </c>
    </row>
    <row r="48" spans="1:8" ht="15.75">
      <c r="A48" s="61">
        <v>46</v>
      </c>
      <c r="B48" s="81" t="s">
        <v>35</v>
      </c>
      <c r="C48" s="3" t="s">
        <v>20</v>
      </c>
      <c r="D48" s="85">
        <v>41.22</v>
      </c>
      <c r="E48" s="62">
        <f>(42.95+42.14+42.14+41.76+41.55+41.48+41.78+41.42+41.53+41.49+41.58+41.5+41.67+41.64+41.36+41.53+41.34+41.39+41.86+41.4+42.1+41.49+41.36+42.16+42+42.18+42.24+42.2+41.48+41.93+41.22+41.24+41.42+41.59+41.41+41.86+41.56+41.37+42.33+41.47+41.42)/41</f>
        <v>41.696097560975609</v>
      </c>
      <c r="F48" s="62">
        <f>E48-D48</f>
        <v>0.47609756097561018</v>
      </c>
      <c r="G48" s="3">
        <v>13</v>
      </c>
      <c r="H48" s="87">
        <v>42</v>
      </c>
    </row>
    <row r="49" spans="1:8" ht="15.75">
      <c r="A49" s="61">
        <v>47</v>
      </c>
      <c r="B49" s="81" t="s">
        <v>39</v>
      </c>
      <c r="C49" s="3" t="s">
        <v>101</v>
      </c>
      <c r="D49" s="3">
        <v>41.48</v>
      </c>
      <c r="E49" s="62">
        <f>(44.07+42.9+42.25+41.95+41.86+41.59+41.63+41.86+41.69+41.77+41.61+41.56+41.5+41.53+41.68+41.69+41.96+43.08+41.79+41.61+41.6+41.53+41.74+41.69+41.99+41.76+41.48+41.86+42.91+42.23+42.18+41.58+41.72+41.77+42.03+41.97)/36</f>
        <v>41.933888888888887</v>
      </c>
      <c r="F49" s="62">
        <f>E49-D49</f>
        <v>0.45388888888889056</v>
      </c>
      <c r="G49" s="3">
        <v>14</v>
      </c>
      <c r="H49" s="87">
        <v>37</v>
      </c>
    </row>
    <row r="50" spans="1:8" ht="15.75">
      <c r="A50" s="61">
        <v>48</v>
      </c>
      <c r="B50" s="81" t="s">
        <v>31</v>
      </c>
      <c r="C50" s="3" t="s">
        <v>19</v>
      </c>
      <c r="D50" s="3">
        <v>41.61</v>
      </c>
      <c r="E50" s="62">
        <f>(42.76+42.37+42.16+42.18+42.31+42.03+42.79+42.77+42.33+42.08+42.01+41.81+42.11+41.93+41.97+41.86+42.61+41.8+42.11+41.95+41.98+43.1+42.13+42.68+42.11+41.61+42.34+42.14+41.99+41.83+41.76+41.66+41.8+41.93+41.83+42.19+42.13+41.97+42.12+41.84+42.89+41.96+41.66+42.04+42.07+41.89+41.95+41.89+42.12+41.95+42.07+42.21+42.17+42.44)/54</f>
        <v>42.118333333333339</v>
      </c>
      <c r="F50" s="62">
        <f>E50-D50</f>
        <v>0.50833333333333997</v>
      </c>
      <c r="G50" s="3">
        <v>14</v>
      </c>
      <c r="H50" s="87">
        <v>56</v>
      </c>
    </row>
    <row r="51" spans="1:8" ht="15.75">
      <c r="A51" s="61">
        <v>49</v>
      </c>
      <c r="B51" s="81" t="s">
        <v>31</v>
      </c>
      <c r="C51" s="3" t="s">
        <v>19</v>
      </c>
      <c r="D51" s="3">
        <v>41.99</v>
      </c>
      <c r="E51" s="62">
        <f>(42.98+43.2+42.44+42.16+42.21+42.22+42.13+42.33+42.31+42.57+43.73+42.91+42.54+42.66+42.3+42.83+41.99+43.12+42.65+42.05+42.19+42.27+43.12+42.38+42.08+42.32+42.32+42.19+42.26+42.69+42.86+42.74+42.18+42.41+42.34+42.63+42.33+42.88+42.28+42.38+42.28+42.32+42.2+43.48+42.32+42.04+42.3+42.27+42.41+42.21+42.35)/51</f>
        <v>42.477647058823521</v>
      </c>
      <c r="F51" s="62">
        <f>E51-D51</f>
        <v>0.48764705882351933</v>
      </c>
      <c r="G51" s="3">
        <v>14</v>
      </c>
      <c r="H51" s="87">
        <v>52</v>
      </c>
    </row>
    <row r="52" spans="1:8" ht="15.75">
      <c r="A52" s="61">
        <v>50</v>
      </c>
      <c r="B52" s="81" t="s">
        <v>33</v>
      </c>
      <c r="C52" s="3" t="s">
        <v>20</v>
      </c>
      <c r="D52" s="85">
        <v>41.2</v>
      </c>
      <c r="E52" s="62">
        <f>(42.64+42.16+41.81+41.77+41.75+41.64+41.93+41.83+41.82+41.69+42.54+41.87+41.72+41.39+41.62+41.77+42.01+41.9+41.65+42.33+41.59+42.64+42.12+42.55+41.93+41.64+41.61+41.87+41.81+41.44+41.73+41.78+42.3+41.31+41.34+41.52+41.57+42.48+41.54+41.2+41.52+41.52+41.52+41.97+41.73+42.08+41.71+41.3+41.58+42.1+42+41.79)/52</f>
        <v>41.819807692307677</v>
      </c>
      <c r="F52" s="62">
        <f>E52-D52</f>
        <v>0.61980769230767407</v>
      </c>
      <c r="G52" s="3">
        <v>15</v>
      </c>
      <c r="H52" s="87">
        <v>54</v>
      </c>
    </row>
    <row r="53" spans="1:8" ht="15.75">
      <c r="A53" s="61">
        <v>51</v>
      </c>
      <c r="B53" s="81" t="s">
        <v>102</v>
      </c>
      <c r="C53" s="3" t="s">
        <v>22</v>
      </c>
      <c r="D53" s="3">
        <v>41.37</v>
      </c>
      <c r="E53" s="62">
        <f>(43.06+41.92+41.96+41.71+41.63+42.03+41.87+41.62+41.97+41.48+41.64+41.61+41.47+41.57+41.66+41.76+42.12+41.53+41.61+41.61+41.66+41.7+41.78+42.42+41.89+41.37+41.46+41.64+41.41+42.68+41.81+42.08+41.62+41.51+41.79+41.73+41.54+41.45+41.58+41.55+41.55+41.58+41.52+41.56+41.58+41.53+41.73)/47</f>
        <v>41.735106382978714</v>
      </c>
      <c r="F53" s="62">
        <f>E53-D53</f>
        <v>0.36510638297871623</v>
      </c>
      <c r="G53" s="3">
        <v>15</v>
      </c>
      <c r="H53" s="87">
        <v>48</v>
      </c>
    </row>
    <row r="54" spans="1:8" ht="15.75">
      <c r="A54" s="61">
        <v>52</v>
      </c>
      <c r="B54" s="86" t="s">
        <v>32</v>
      </c>
      <c r="C54" s="3" t="s">
        <v>19</v>
      </c>
      <c r="D54" s="3">
        <v>42.01</v>
      </c>
      <c r="E54" s="62">
        <f>(43.01+43.75+42.43+42.22+42.03+42.16+42.53+43.07+42.55+42.19+42.29+42.1+42.54+42.21+42.17+42.1+42.33+43.66+42.4+42.27+42.21+42.27+42.01+42.69+42.16+43.1+42.21+42.17+42.63+42.7+42.68+42.06+42.73+42.67+42.36+43.3+42.76)/37</f>
        <v>42.505945945945953</v>
      </c>
      <c r="F54" s="62">
        <f>E54-D54</f>
        <v>0.4959459459459552</v>
      </c>
      <c r="G54" s="3">
        <v>15</v>
      </c>
      <c r="H54" s="87">
        <v>40</v>
      </c>
    </row>
    <row r="55" spans="1:8" ht="15.75">
      <c r="A55" s="61">
        <v>53</v>
      </c>
      <c r="B55" s="81" t="s">
        <v>28</v>
      </c>
      <c r="C55" s="3" t="s">
        <v>17</v>
      </c>
      <c r="D55" s="3">
        <v>40.94</v>
      </c>
      <c r="E55" s="62">
        <f>(41.92+41.37+41.79+41.32+41.4+41.42+41.55+41.4+41.24+41.16+41.43+41.77+41.43+41.96+41.27+41.43+41.32+41.37+41.42+41.36+41.3+41.38+41.3+41.38+41.56+41.29+41.31+40.94+41.6+41.33+41.44+41.48+41.55+41.59+41.4+41.28+41.3+41.31+41.21+41.18+41.41+41.35+41.73+41.18+41.14+42.07+41.74+41.42+41.4+41.4+41.37)/51</f>
        <v>41.424901960784304</v>
      </c>
      <c r="F55" s="62">
        <f>E55-D55</f>
        <v>0.48490196078430614</v>
      </c>
      <c r="G55" s="3">
        <v>21</v>
      </c>
      <c r="H55" s="87">
        <v>53</v>
      </c>
    </row>
    <row r="56" spans="1:8" ht="15.75">
      <c r="A56" s="61">
        <v>54</v>
      </c>
      <c r="B56" s="81" t="s">
        <v>34</v>
      </c>
      <c r="C56" s="3" t="s">
        <v>20</v>
      </c>
      <c r="D56" s="3">
        <v>41.06</v>
      </c>
      <c r="E56" s="62">
        <f>(42.16+41.75+41.37+41.62+41.19+41.21+41.25+41.29+41.06+41.2+41.41+41.21+41.19+41.18+41.5+41.95+41.46+41.17+41.17+41.35+41.32+41.73+41.28+41.69+41.69+41.68+41.25+41.43+41.2+41.18+41.22+41.29+41.34+41.26+41.56+41.21+41.16+41.63+41.39+41.47+41.49+41.48+41.33+41.12+41.31+41.31+41.09)/47</f>
        <v>41.378723404255325</v>
      </c>
      <c r="F56" s="62">
        <f>E56-D56</f>
        <v>0.31872340425532286</v>
      </c>
      <c r="G56" s="3">
        <v>21</v>
      </c>
      <c r="H56" s="87">
        <v>49</v>
      </c>
    </row>
    <row r="57" spans="1:8" ht="15.75">
      <c r="A57" s="61">
        <v>55</v>
      </c>
      <c r="B57" s="81" t="s">
        <v>37</v>
      </c>
      <c r="C57" s="3" t="s">
        <v>96</v>
      </c>
      <c r="D57" s="3">
        <v>41.22</v>
      </c>
      <c r="E57" s="62">
        <f>(42.36+41.38+41.22+41.65+42.37+41.27+41.28+41.37+41.23+41.42+41.33+41.36+41.29+41.91+41.76+41.48+41.4+41.5+43.36+41.92+41.33+41.38+41.36+41.39+41.42+41.57+41.83+41.5+41.42+41.46+41.43+41.36+41.57+41.52+41.47+41.29+41.49+41.23+41.62+41.85+41.3+41.37+41.25+41.71+41.6+42.39+41.56+41.45+41.56+41.9+41.56+41.78+41.58+41.47+42.06+41.57+42.11)/57</f>
        <v>41.588947368421046</v>
      </c>
      <c r="F57" s="62">
        <f>E57-D57</f>
        <v>0.36894736842104692</v>
      </c>
      <c r="G57" s="3">
        <v>21</v>
      </c>
      <c r="H57" s="87">
        <v>59</v>
      </c>
    </row>
    <row r="58" spans="1:8" ht="15.75">
      <c r="A58" s="61">
        <v>56</v>
      </c>
      <c r="B58" s="81" t="s">
        <v>40</v>
      </c>
      <c r="C58" s="3" t="s">
        <v>101</v>
      </c>
      <c r="D58" s="85">
        <v>41.41</v>
      </c>
      <c r="E58" s="62">
        <f>(42.84+41.97+41.91+41.86+41.98+41.81+41.79+41.66+41.88+41.7+42.36+41.62+41.44+41.67+41.55+41.65+41.41+42.25+41.86+41.61+41.79+41.55+41.64+42.18+41.48+41.62+41.73+41.62+41.56+41.65+41.65+41.55+41.58+41.52+41.58+42.44+41.73+41.73+41.49+41.69+41.84)/41</f>
        <v>41.766829268292668</v>
      </c>
      <c r="F58" s="62">
        <f>E58-D58</f>
        <v>0.35682926829267103</v>
      </c>
      <c r="G58" s="3">
        <v>21</v>
      </c>
      <c r="H58" s="87">
        <v>42</v>
      </c>
    </row>
  </sheetData>
  <autoFilter ref="B2:H2">
    <filterColumn colId="4"/>
    <sortState ref="B3:H58">
      <sortCondition ref="G2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Регистрация</vt:lpstr>
      <vt:lpstr>Общие результаты</vt:lpstr>
      <vt:lpstr>Лучшие отрезки</vt:lpstr>
      <vt:lpstr>ЛК по картам</vt:lpstr>
      <vt:lpstr>Выбор картов</vt:lpstr>
      <vt:lpstr>Финики</vt:lpstr>
      <vt:lpstr>Ну погоди!</vt:lpstr>
      <vt:lpstr>Чпок Тим</vt:lpstr>
      <vt:lpstr>Смурфики</vt:lpstr>
      <vt:lpstr>Злая Пуля</vt:lpstr>
      <vt:lpstr>M&amp;M`s</vt:lpstr>
      <vt:lpstr>Mad Snails Team</vt:lpstr>
      <vt:lpstr>Бандеровцы</vt:lpstr>
      <vt:lpstr>Окряк Рейсинг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2014-05-26T18:35:28Z</cp:lastPrinted>
  <dcterms:created xsi:type="dcterms:W3CDTF">2012-07-06T15:34:01Z</dcterms:created>
  <dcterms:modified xsi:type="dcterms:W3CDTF">2014-05-27T11:04:53Z</dcterms:modified>
</cp:coreProperties>
</file>