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75" windowWidth="19875" windowHeight="8985" tabRatio="706" firstSheet="1" activeTab="9"/>
  </bookViews>
  <sheets>
    <sheet name="Регистрация" sheetId="3" r:id="rId1"/>
    <sheet name="Квала" sheetId="2" r:id="rId2"/>
    <sheet name="Общие результаты" sheetId="1" r:id="rId3"/>
    <sheet name="Асва" sheetId="4" r:id="rId4"/>
    <sheet name="Ну Погоди!" sheetId="5" r:id="rId5"/>
    <sheet name="Butchery" sheetId="6" r:id="rId6"/>
    <sheet name="Дружба" sheetId="7" r:id="rId7"/>
    <sheet name="Beermix" sheetId="8" r:id="rId8"/>
    <sheet name="Ихтиандр" sheetId="9" r:id="rId9"/>
    <sheet name="Симон" sheetId="10" r:id="rId10"/>
    <sheet name="Пионер" sheetId="11" r:id="rId11"/>
    <sheet name="Даниил Хармс" sheetId="12" r:id="rId12"/>
  </sheets>
  <calcPr calcId="125725"/>
</workbook>
</file>

<file path=xl/calcChain.xml><?xml version="1.0" encoding="utf-8"?>
<calcChain xmlns="http://schemas.openxmlformats.org/spreadsheetml/2006/main">
  <c r="E32" i="12"/>
  <c r="I31"/>
  <c r="F31"/>
  <c r="K31" s="1"/>
  <c r="K30"/>
  <c r="I30"/>
  <c r="F30"/>
  <c r="I29"/>
  <c r="F29"/>
  <c r="K29" s="1"/>
  <c r="L29" s="1"/>
  <c r="K28"/>
  <c r="I28"/>
  <c r="F28"/>
  <c r="I27"/>
  <c r="F27"/>
  <c r="K27" s="1"/>
  <c r="K26"/>
  <c r="I26"/>
  <c r="F26"/>
  <c r="K25"/>
  <c r="I25"/>
  <c r="F25"/>
  <c r="K24"/>
  <c r="L31" s="1"/>
  <c r="I24"/>
  <c r="F24"/>
  <c r="K23"/>
  <c r="I23"/>
  <c r="F23"/>
  <c r="K22"/>
  <c r="I22"/>
  <c r="F22"/>
  <c r="K21"/>
  <c r="I21"/>
  <c r="F21"/>
  <c r="K20"/>
  <c r="I20"/>
  <c r="F20"/>
  <c r="K19"/>
  <c r="I19"/>
  <c r="F19"/>
  <c r="K18"/>
  <c r="I18"/>
  <c r="F18"/>
  <c r="K17"/>
  <c r="I17"/>
  <c r="F17"/>
  <c r="K16"/>
  <c r="I16"/>
  <c r="F16"/>
  <c r="K15"/>
  <c r="I15"/>
  <c r="J15" s="1"/>
  <c r="J19" s="1"/>
  <c r="F15"/>
  <c r="K14"/>
  <c r="I14"/>
  <c r="F14"/>
  <c r="K13"/>
  <c r="I13"/>
  <c r="J13" s="1"/>
  <c r="F13"/>
  <c r="K12"/>
  <c r="I12"/>
  <c r="F12"/>
  <c r="K11"/>
  <c r="I11"/>
  <c r="J11" s="1"/>
  <c r="F11"/>
  <c r="K10"/>
  <c r="L27" s="1"/>
  <c r="I10"/>
  <c r="J10" s="1"/>
  <c r="F10"/>
  <c r="K9"/>
  <c r="I9"/>
  <c r="J9" s="1"/>
  <c r="F9"/>
  <c r="K8"/>
  <c r="I8"/>
  <c r="J8" s="1"/>
  <c r="F8"/>
  <c r="K7"/>
  <c r="I7"/>
  <c r="J7" s="1"/>
  <c r="F7"/>
  <c r="K6"/>
  <c r="I6"/>
  <c r="J6" s="1"/>
  <c r="F6"/>
  <c r="E32" i="11"/>
  <c r="I31"/>
  <c r="F31"/>
  <c r="K31" s="1"/>
  <c r="L31" s="1"/>
  <c r="K30"/>
  <c r="I30"/>
  <c r="F30"/>
  <c r="I29"/>
  <c r="F29"/>
  <c r="K29" s="1"/>
  <c r="K28"/>
  <c r="I28"/>
  <c r="F28"/>
  <c r="I27"/>
  <c r="F27"/>
  <c r="K27" s="1"/>
  <c r="L27" s="1"/>
  <c r="K26"/>
  <c r="I26"/>
  <c r="F26"/>
  <c r="K25"/>
  <c r="I25"/>
  <c r="F25"/>
  <c r="K24"/>
  <c r="I24"/>
  <c r="F24"/>
  <c r="K23"/>
  <c r="I23"/>
  <c r="F23"/>
  <c r="K22"/>
  <c r="I22"/>
  <c r="F22"/>
  <c r="K21"/>
  <c r="I21"/>
  <c r="F21"/>
  <c r="K20"/>
  <c r="I20"/>
  <c r="F20"/>
  <c r="K19"/>
  <c r="L29" s="1"/>
  <c r="I19"/>
  <c r="F19"/>
  <c r="K18"/>
  <c r="I18"/>
  <c r="F18"/>
  <c r="K17"/>
  <c r="I17"/>
  <c r="F17"/>
  <c r="K16"/>
  <c r="I16"/>
  <c r="F16"/>
  <c r="K15"/>
  <c r="I15"/>
  <c r="F15"/>
  <c r="K14"/>
  <c r="I14"/>
  <c r="F14"/>
  <c r="K13"/>
  <c r="I13"/>
  <c r="F13"/>
  <c r="K12"/>
  <c r="I12"/>
  <c r="F12"/>
  <c r="K11"/>
  <c r="I11"/>
  <c r="J11" s="1"/>
  <c r="F11"/>
  <c r="K10"/>
  <c r="I10"/>
  <c r="J10" s="1"/>
  <c r="F10"/>
  <c r="K9"/>
  <c r="I9"/>
  <c r="J9" s="1"/>
  <c r="F9"/>
  <c r="K8"/>
  <c r="I8"/>
  <c r="J8" s="1"/>
  <c r="F8"/>
  <c r="K7"/>
  <c r="I7"/>
  <c r="J7" s="1"/>
  <c r="F7"/>
  <c r="K6"/>
  <c r="I6"/>
  <c r="J6" s="1"/>
  <c r="F6"/>
  <c r="E32" i="10"/>
  <c r="I31"/>
  <c r="F31"/>
  <c r="K31" s="1"/>
  <c r="K30"/>
  <c r="I30"/>
  <c r="F30"/>
  <c r="I29"/>
  <c r="F29"/>
  <c r="K29" s="1"/>
  <c r="L29" s="1"/>
  <c r="K28"/>
  <c r="I28"/>
  <c r="F28"/>
  <c r="I27"/>
  <c r="F27"/>
  <c r="K27" s="1"/>
  <c r="I26"/>
  <c r="F26"/>
  <c r="K26" s="1"/>
  <c r="L31" s="1"/>
  <c r="I25"/>
  <c r="F25"/>
  <c r="K25" s="1"/>
  <c r="I24"/>
  <c r="F24"/>
  <c r="K24" s="1"/>
  <c r="I23"/>
  <c r="F23"/>
  <c r="K23" s="1"/>
  <c r="I22"/>
  <c r="F22"/>
  <c r="K22" s="1"/>
  <c r="L27" s="1"/>
  <c r="I21"/>
  <c r="F21"/>
  <c r="K21" s="1"/>
  <c r="I20"/>
  <c r="F20"/>
  <c r="K20" s="1"/>
  <c r="I19"/>
  <c r="F19"/>
  <c r="K19" s="1"/>
  <c r="I18"/>
  <c r="F18"/>
  <c r="K18" s="1"/>
  <c r="I17"/>
  <c r="F17"/>
  <c r="K17" s="1"/>
  <c r="I16"/>
  <c r="F16"/>
  <c r="K16" s="1"/>
  <c r="I15"/>
  <c r="F15"/>
  <c r="K15" s="1"/>
  <c r="J14"/>
  <c r="J19" s="1"/>
  <c r="J24" s="1"/>
  <c r="J29" s="1"/>
  <c r="I14"/>
  <c r="F14"/>
  <c r="K14" s="1"/>
  <c r="I13"/>
  <c r="F13"/>
  <c r="K13" s="1"/>
  <c r="J12"/>
  <c r="J17" s="1"/>
  <c r="J22" s="1"/>
  <c r="J27" s="1"/>
  <c r="I12"/>
  <c r="F12"/>
  <c r="K12" s="1"/>
  <c r="I11"/>
  <c r="F11"/>
  <c r="K11" s="1"/>
  <c r="J10"/>
  <c r="J15" s="1"/>
  <c r="J20" s="1"/>
  <c r="J25" s="1"/>
  <c r="I10"/>
  <c r="F10"/>
  <c r="K10" s="1"/>
  <c r="J9"/>
  <c r="I9"/>
  <c r="F9"/>
  <c r="K9" s="1"/>
  <c r="J8"/>
  <c r="J13" s="1"/>
  <c r="J18" s="1"/>
  <c r="J23" s="1"/>
  <c r="I8"/>
  <c r="F8"/>
  <c r="K8" s="1"/>
  <c r="J7"/>
  <c r="I7"/>
  <c r="F7"/>
  <c r="K7" s="1"/>
  <c r="J6"/>
  <c r="J11" s="1"/>
  <c r="J16" s="1"/>
  <c r="J21" s="1"/>
  <c r="J26" s="1"/>
  <c r="J31" s="1"/>
  <c r="I6"/>
  <c r="F6"/>
  <c r="K6" s="1"/>
  <c r="E32" i="9"/>
  <c r="K31"/>
  <c r="I31"/>
  <c r="F31"/>
  <c r="I30"/>
  <c r="F30"/>
  <c r="K30" s="1"/>
  <c r="M30" s="1"/>
  <c r="K29"/>
  <c r="I29"/>
  <c r="F29"/>
  <c r="I28"/>
  <c r="F28"/>
  <c r="K28" s="1"/>
  <c r="I27"/>
  <c r="F27"/>
  <c r="K27" s="1"/>
  <c r="K26"/>
  <c r="I26"/>
  <c r="F26"/>
  <c r="K25"/>
  <c r="I25"/>
  <c r="F25"/>
  <c r="K24"/>
  <c r="I24"/>
  <c r="F24"/>
  <c r="K23"/>
  <c r="I23"/>
  <c r="F23"/>
  <c r="K22"/>
  <c r="I22"/>
  <c r="F22"/>
  <c r="K21"/>
  <c r="I21"/>
  <c r="F21"/>
  <c r="K20"/>
  <c r="I20"/>
  <c r="F20"/>
  <c r="K19"/>
  <c r="I19"/>
  <c r="F19"/>
  <c r="K18"/>
  <c r="I18"/>
  <c r="F18"/>
  <c r="K17"/>
  <c r="I17"/>
  <c r="F17"/>
  <c r="K16"/>
  <c r="I16"/>
  <c r="J16" s="1"/>
  <c r="F16"/>
  <c r="K15"/>
  <c r="I15"/>
  <c r="F15"/>
  <c r="K14"/>
  <c r="I14"/>
  <c r="F14"/>
  <c r="K13"/>
  <c r="I13"/>
  <c r="F13"/>
  <c r="K12"/>
  <c r="I12"/>
  <c r="F12"/>
  <c r="K11"/>
  <c r="M28" s="1"/>
  <c r="I11"/>
  <c r="J11" s="1"/>
  <c r="F11"/>
  <c r="K10"/>
  <c r="I10"/>
  <c r="F10"/>
  <c r="K9"/>
  <c r="I9"/>
  <c r="J9" s="1"/>
  <c r="F9"/>
  <c r="K8"/>
  <c r="I8"/>
  <c r="J8" s="1"/>
  <c r="F8"/>
  <c r="K7"/>
  <c r="I7"/>
  <c r="J7" s="1"/>
  <c r="F7"/>
  <c r="K6"/>
  <c r="I6"/>
  <c r="J6" s="1"/>
  <c r="F6"/>
  <c r="E32" i="8"/>
  <c r="I31"/>
  <c r="F31"/>
  <c r="K31" s="1"/>
  <c r="K30"/>
  <c r="L30" s="1"/>
  <c r="I30"/>
  <c r="F30"/>
  <c r="I29"/>
  <c r="F29"/>
  <c r="K29" s="1"/>
  <c r="L29" s="1"/>
  <c r="K28"/>
  <c r="I28"/>
  <c r="F28"/>
  <c r="K27"/>
  <c r="L31" s="1"/>
  <c r="I27"/>
  <c r="F27"/>
  <c r="K26"/>
  <c r="I26"/>
  <c r="F26"/>
  <c r="K25"/>
  <c r="I25"/>
  <c r="F25"/>
  <c r="K24"/>
  <c r="I24"/>
  <c r="F24"/>
  <c r="K23"/>
  <c r="I23"/>
  <c r="F23"/>
  <c r="K22"/>
  <c r="I22"/>
  <c r="F22"/>
  <c r="K21"/>
  <c r="I21"/>
  <c r="F21"/>
  <c r="K20"/>
  <c r="I20"/>
  <c r="F20"/>
  <c r="K19"/>
  <c r="I19"/>
  <c r="F19"/>
  <c r="K18"/>
  <c r="I18"/>
  <c r="F18"/>
  <c r="K17"/>
  <c r="I17"/>
  <c r="F17"/>
  <c r="K16"/>
  <c r="I16"/>
  <c r="F16"/>
  <c r="K15"/>
  <c r="I15"/>
  <c r="F15"/>
  <c r="K14"/>
  <c r="I14"/>
  <c r="F14"/>
  <c r="K13"/>
  <c r="I13"/>
  <c r="F13"/>
  <c r="K12"/>
  <c r="I12"/>
  <c r="F12"/>
  <c r="K11"/>
  <c r="I11"/>
  <c r="F11"/>
  <c r="K10"/>
  <c r="I10"/>
  <c r="F10"/>
  <c r="K9"/>
  <c r="I9"/>
  <c r="J9" s="1"/>
  <c r="F9"/>
  <c r="K8"/>
  <c r="I8"/>
  <c r="J8" s="1"/>
  <c r="F8"/>
  <c r="K7"/>
  <c r="I7"/>
  <c r="J7" s="1"/>
  <c r="F7"/>
  <c r="K6"/>
  <c r="I6"/>
  <c r="J6" s="1"/>
  <c r="F6"/>
  <c r="E32" i="7"/>
  <c r="I31"/>
  <c r="F31"/>
  <c r="K31" s="1"/>
  <c r="K30"/>
  <c r="I30"/>
  <c r="F30"/>
  <c r="I29"/>
  <c r="F29"/>
  <c r="K29" s="1"/>
  <c r="L31" s="1"/>
  <c r="K28"/>
  <c r="I28"/>
  <c r="F28"/>
  <c r="K27"/>
  <c r="I27"/>
  <c r="F27"/>
  <c r="K26"/>
  <c r="L29" s="1"/>
  <c r="I26"/>
  <c r="F26"/>
  <c r="K25"/>
  <c r="I25"/>
  <c r="F25"/>
  <c r="K24"/>
  <c r="I24"/>
  <c r="F24"/>
  <c r="K23"/>
  <c r="I23"/>
  <c r="F23"/>
  <c r="K22"/>
  <c r="I22"/>
  <c r="F22"/>
  <c r="K21"/>
  <c r="I21"/>
  <c r="F21"/>
  <c r="K20"/>
  <c r="I20"/>
  <c r="F20"/>
  <c r="K19"/>
  <c r="I19"/>
  <c r="F19"/>
  <c r="K18"/>
  <c r="I18"/>
  <c r="F18"/>
  <c r="K17"/>
  <c r="I17"/>
  <c r="F17"/>
  <c r="K16"/>
  <c r="I16"/>
  <c r="F16"/>
  <c r="K15"/>
  <c r="I15"/>
  <c r="F15"/>
  <c r="K14"/>
  <c r="I14"/>
  <c r="F14"/>
  <c r="K13"/>
  <c r="I13"/>
  <c r="F13"/>
  <c r="K12"/>
  <c r="I12"/>
  <c r="J12" s="1"/>
  <c r="F12"/>
  <c r="K11"/>
  <c r="I11"/>
  <c r="F11"/>
  <c r="K10"/>
  <c r="I10"/>
  <c r="J10" s="1"/>
  <c r="F10"/>
  <c r="K9"/>
  <c r="I9"/>
  <c r="F9"/>
  <c r="K8"/>
  <c r="I8"/>
  <c r="J8" s="1"/>
  <c r="F8"/>
  <c r="K7"/>
  <c r="I7"/>
  <c r="J7" s="1"/>
  <c r="F7"/>
  <c r="K6"/>
  <c r="I6"/>
  <c r="J6" s="1"/>
  <c r="F6"/>
  <c r="E32" i="6"/>
  <c r="I31"/>
  <c r="F31"/>
  <c r="K31" s="1"/>
  <c r="K30"/>
  <c r="I30"/>
  <c r="F30"/>
  <c r="I29"/>
  <c r="F29"/>
  <c r="K29" s="1"/>
  <c r="L29" s="1"/>
  <c r="I28"/>
  <c r="F28"/>
  <c r="K28" s="1"/>
  <c r="I27"/>
  <c r="F27"/>
  <c r="K27" s="1"/>
  <c r="I26"/>
  <c r="F26"/>
  <c r="K26" s="1"/>
  <c r="K25"/>
  <c r="L25" s="1"/>
  <c r="I25"/>
  <c r="F25"/>
  <c r="I24"/>
  <c r="F24"/>
  <c r="K24" s="1"/>
  <c r="L24" s="1"/>
  <c r="I23"/>
  <c r="F23"/>
  <c r="K23" s="1"/>
  <c r="I22"/>
  <c r="F22"/>
  <c r="K22" s="1"/>
  <c r="I21"/>
  <c r="F21"/>
  <c r="K21" s="1"/>
  <c r="I20"/>
  <c r="F20"/>
  <c r="K20" s="1"/>
  <c r="I19"/>
  <c r="F19"/>
  <c r="K19" s="1"/>
  <c r="I18"/>
  <c r="F18"/>
  <c r="K18" s="1"/>
  <c r="I17"/>
  <c r="F17"/>
  <c r="K17" s="1"/>
  <c r="I16"/>
  <c r="F16"/>
  <c r="K16" s="1"/>
  <c r="I15"/>
  <c r="F15"/>
  <c r="K15" s="1"/>
  <c r="J14"/>
  <c r="J16" s="1"/>
  <c r="J22" s="1"/>
  <c r="J24" s="1"/>
  <c r="I14"/>
  <c r="F14"/>
  <c r="K14" s="1"/>
  <c r="I13"/>
  <c r="F13"/>
  <c r="K13" s="1"/>
  <c r="J12"/>
  <c r="J18" s="1"/>
  <c r="J23" s="1"/>
  <c r="J27" s="1"/>
  <c r="J29" s="1"/>
  <c r="I12"/>
  <c r="F12"/>
  <c r="K12" s="1"/>
  <c r="J11"/>
  <c r="I11"/>
  <c r="F11"/>
  <c r="K11" s="1"/>
  <c r="I10"/>
  <c r="F10"/>
  <c r="K10" s="1"/>
  <c r="J9"/>
  <c r="J17" s="1"/>
  <c r="J19" s="1"/>
  <c r="I9"/>
  <c r="F9"/>
  <c r="K9" s="1"/>
  <c r="J8"/>
  <c r="J13" s="1"/>
  <c r="J21" s="1"/>
  <c r="J31" s="1"/>
  <c r="I8"/>
  <c r="F8"/>
  <c r="K8" s="1"/>
  <c r="L31" s="1"/>
  <c r="J7"/>
  <c r="I7"/>
  <c r="F7"/>
  <c r="K7" s="1"/>
  <c r="J6"/>
  <c r="J10" s="1"/>
  <c r="J15" s="1"/>
  <c r="J20" s="1"/>
  <c r="J26" s="1"/>
  <c r="J28" s="1"/>
  <c r="I6"/>
  <c r="F6"/>
  <c r="K6" s="1"/>
  <c r="E32" i="5"/>
  <c r="K31"/>
  <c r="I31"/>
  <c r="F31"/>
  <c r="I30"/>
  <c r="F30"/>
  <c r="K30" s="1"/>
  <c r="K29"/>
  <c r="I29"/>
  <c r="F29"/>
  <c r="I28"/>
  <c r="F28"/>
  <c r="K28" s="1"/>
  <c r="I27"/>
  <c r="F27"/>
  <c r="K27" s="1"/>
  <c r="I26"/>
  <c r="F26"/>
  <c r="K26" s="1"/>
  <c r="I25"/>
  <c r="F25"/>
  <c r="K25" s="1"/>
  <c r="I24"/>
  <c r="F24"/>
  <c r="K24" s="1"/>
  <c r="I23"/>
  <c r="F23"/>
  <c r="K23" s="1"/>
  <c r="I22"/>
  <c r="F22"/>
  <c r="K22" s="1"/>
  <c r="I21"/>
  <c r="F21"/>
  <c r="K21" s="1"/>
  <c r="I20"/>
  <c r="F20"/>
  <c r="K20" s="1"/>
  <c r="I19"/>
  <c r="F19"/>
  <c r="K19" s="1"/>
  <c r="I18"/>
  <c r="F18"/>
  <c r="K18" s="1"/>
  <c r="I17"/>
  <c r="F17"/>
  <c r="K17" s="1"/>
  <c r="M28" s="1"/>
  <c r="I16"/>
  <c r="F16"/>
  <c r="K16" s="1"/>
  <c r="I15"/>
  <c r="F15"/>
  <c r="K15" s="1"/>
  <c r="I14"/>
  <c r="F14"/>
  <c r="K14" s="1"/>
  <c r="I13"/>
  <c r="F13"/>
  <c r="K13" s="1"/>
  <c r="I12"/>
  <c r="F12"/>
  <c r="K12" s="1"/>
  <c r="I11"/>
  <c r="F11"/>
  <c r="K11" s="1"/>
  <c r="I10"/>
  <c r="F10"/>
  <c r="K10" s="1"/>
  <c r="J9"/>
  <c r="J13" s="1"/>
  <c r="J17" s="1"/>
  <c r="J24" s="1"/>
  <c r="J28" s="1"/>
  <c r="I9"/>
  <c r="F9"/>
  <c r="K9" s="1"/>
  <c r="J8"/>
  <c r="J12" s="1"/>
  <c r="J16" s="1"/>
  <c r="J20" s="1"/>
  <c r="J22" s="1"/>
  <c r="J27" s="1"/>
  <c r="I8"/>
  <c r="F8"/>
  <c r="K8" s="1"/>
  <c r="J7"/>
  <c r="J11" s="1"/>
  <c r="J15" s="1"/>
  <c r="J19" s="1"/>
  <c r="J23" s="1"/>
  <c r="J26" s="1"/>
  <c r="I7"/>
  <c r="F7"/>
  <c r="K7" s="1"/>
  <c r="J6"/>
  <c r="J10" s="1"/>
  <c r="J14" s="1"/>
  <c r="J18" s="1"/>
  <c r="J21" s="1"/>
  <c r="J25" s="1"/>
  <c r="J30" s="1"/>
  <c r="I6"/>
  <c r="F6"/>
  <c r="E32" i="4"/>
  <c r="K31"/>
  <c r="I31"/>
  <c r="F31"/>
  <c r="I30"/>
  <c r="F30"/>
  <c r="K30" s="1"/>
  <c r="K29"/>
  <c r="I29"/>
  <c r="F29"/>
  <c r="I28"/>
  <c r="F28"/>
  <c r="K28" s="1"/>
  <c r="L28" s="1"/>
  <c r="I27"/>
  <c r="F27"/>
  <c r="K27" s="1"/>
  <c r="I26"/>
  <c r="F26"/>
  <c r="K26" s="1"/>
  <c r="I25"/>
  <c r="F25"/>
  <c r="K25" s="1"/>
  <c r="I24"/>
  <c r="F24"/>
  <c r="K24" s="1"/>
  <c r="L30" s="1"/>
  <c r="I23"/>
  <c r="F23"/>
  <c r="K23" s="1"/>
  <c r="I22"/>
  <c r="F22"/>
  <c r="K22" s="1"/>
  <c r="I21"/>
  <c r="F21"/>
  <c r="K21" s="1"/>
  <c r="I20"/>
  <c r="F20"/>
  <c r="K20" s="1"/>
  <c r="I19"/>
  <c r="F19"/>
  <c r="K19" s="1"/>
  <c r="I18"/>
  <c r="F18"/>
  <c r="K18" s="1"/>
  <c r="I17"/>
  <c r="F17"/>
  <c r="K17" s="1"/>
  <c r="I16"/>
  <c r="F16"/>
  <c r="K16" s="1"/>
  <c r="I15"/>
  <c r="F15"/>
  <c r="K15" s="1"/>
  <c r="I14"/>
  <c r="F14"/>
  <c r="K14" s="1"/>
  <c r="I13"/>
  <c r="F13"/>
  <c r="K13" s="1"/>
  <c r="I12"/>
  <c r="F12"/>
  <c r="K12" s="1"/>
  <c r="I11"/>
  <c r="F11"/>
  <c r="K11" s="1"/>
  <c r="I10"/>
  <c r="F10"/>
  <c r="K10" s="1"/>
  <c r="J9"/>
  <c r="J13" s="1"/>
  <c r="J17" s="1"/>
  <c r="J20" s="1"/>
  <c r="J22" s="1"/>
  <c r="J24" s="1"/>
  <c r="J27" s="1"/>
  <c r="J30" s="1"/>
  <c r="I9"/>
  <c r="F9"/>
  <c r="K9" s="1"/>
  <c r="J8"/>
  <c r="J15" s="1"/>
  <c r="J19" s="1"/>
  <c r="J26" s="1"/>
  <c r="J28" s="1"/>
  <c r="I8"/>
  <c r="F8"/>
  <c r="K8" s="1"/>
  <c r="J7"/>
  <c r="J10" s="1"/>
  <c r="J12" s="1"/>
  <c r="J16" s="1"/>
  <c r="J18" s="1"/>
  <c r="I7"/>
  <c r="F7"/>
  <c r="K7" s="1"/>
  <c r="J6"/>
  <c r="J11" s="1"/>
  <c r="J14" s="1"/>
  <c r="J21" s="1"/>
  <c r="J23" s="1"/>
  <c r="J25" s="1"/>
  <c r="I6"/>
  <c r="F6"/>
  <c r="F32" s="1"/>
  <c r="F22" i="2"/>
  <c r="M18"/>
  <c r="F18"/>
  <c r="M14"/>
  <c r="F14"/>
  <c r="M10"/>
  <c r="F10"/>
  <c r="M6"/>
  <c r="F6"/>
  <c r="F12" i="1"/>
  <c r="F10"/>
  <c r="F11"/>
  <c r="F32" i="5" l="1"/>
  <c r="K6"/>
  <c r="M30" s="1"/>
  <c r="L29" i="4"/>
  <c r="J29" i="5"/>
  <c r="M31"/>
  <c r="L30" i="6"/>
  <c r="F32"/>
  <c r="L28" i="7"/>
  <c r="L30"/>
  <c r="F32"/>
  <c r="J10" i="8"/>
  <c r="J12"/>
  <c r="J14"/>
  <c r="J16"/>
  <c r="J18"/>
  <c r="J20"/>
  <c r="J22"/>
  <c r="J24"/>
  <c r="J26"/>
  <c r="J28"/>
  <c r="F32"/>
  <c r="J10" i="9"/>
  <c r="J12"/>
  <c r="J14"/>
  <c r="J18"/>
  <c r="J22"/>
  <c r="J28" s="1"/>
  <c r="J24"/>
  <c r="J29"/>
  <c r="M31"/>
  <c r="J28" i="10"/>
  <c r="L30"/>
  <c r="F32"/>
  <c r="J12" i="11"/>
  <c r="J14"/>
  <c r="J16"/>
  <c r="J18"/>
  <c r="J22"/>
  <c r="J31" s="1"/>
  <c r="J26"/>
  <c r="L28"/>
  <c r="J30"/>
  <c r="J17" i="12"/>
  <c r="J21"/>
  <c r="J27" s="1"/>
  <c r="J23"/>
  <c r="J29" s="1"/>
  <c r="L26"/>
  <c r="L30"/>
  <c r="F32"/>
  <c r="K6" i="4"/>
  <c r="J29"/>
  <c r="J31" s="1"/>
  <c r="L31"/>
  <c r="M29" i="5"/>
  <c r="J31"/>
  <c r="J25" i="6"/>
  <c r="J30"/>
  <c r="J9" i="7"/>
  <c r="J14" s="1"/>
  <c r="J19" s="1"/>
  <c r="J21" s="1"/>
  <c r="J23" s="1"/>
  <c r="J28" s="1"/>
  <c r="J30" s="1"/>
  <c r="J11"/>
  <c r="J16" s="1"/>
  <c r="J22" s="1"/>
  <c r="J27" s="1"/>
  <c r="J29" s="1"/>
  <c r="J31" s="1"/>
  <c r="J13"/>
  <c r="J15" s="1"/>
  <c r="J18" s="1"/>
  <c r="J20" s="1"/>
  <c r="J24" s="1"/>
  <c r="J26" s="1"/>
  <c r="J17"/>
  <c r="J25"/>
  <c r="J11" i="8"/>
  <c r="J13"/>
  <c r="J15"/>
  <c r="J17"/>
  <c r="J19"/>
  <c r="J21"/>
  <c r="J23"/>
  <c r="J25"/>
  <c r="J29" s="1"/>
  <c r="J27"/>
  <c r="J31" s="1"/>
  <c r="L28"/>
  <c r="J30"/>
  <c r="F32" i="9"/>
  <c r="M26"/>
  <c r="J13"/>
  <c r="J20" s="1"/>
  <c r="J27" s="1"/>
  <c r="J30" s="1"/>
  <c r="J15"/>
  <c r="J17"/>
  <c r="J23" s="1"/>
  <c r="J26" s="1"/>
  <c r="J19"/>
  <c r="J21"/>
  <c r="J25"/>
  <c r="M29"/>
  <c r="J31"/>
  <c r="L28" i="10"/>
  <c r="J30"/>
  <c r="J13" i="11"/>
  <c r="J15"/>
  <c r="J20" s="1"/>
  <c r="J27" s="1"/>
  <c r="J17"/>
  <c r="J19"/>
  <c r="J24" s="1"/>
  <c r="J29" s="1"/>
  <c r="J21"/>
  <c r="J23"/>
  <c r="J28" s="1"/>
  <c r="J25"/>
  <c r="L26"/>
  <c r="L30"/>
  <c r="F32"/>
  <c r="J12" i="12"/>
  <c r="J18" s="1"/>
  <c r="J24" s="1"/>
  <c r="J31" s="1"/>
  <c r="J14"/>
  <c r="J16"/>
  <c r="J22" s="1"/>
  <c r="J28" s="1"/>
  <c r="J20"/>
  <c r="J25" s="1"/>
  <c r="J30" s="1"/>
  <c r="J26"/>
  <c r="L28"/>
</calcChain>
</file>

<file path=xl/comments1.xml><?xml version="1.0" encoding="utf-8"?>
<comments xmlns="http://schemas.openxmlformats.org/spreadsheetml/2006/main">
  <authors>
    <author>Owner</author>
  </authors>
  <commentList>
    <comment ref="G7" authorId="0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штраф 35 сек за 7 минут вне лимита у пилота</t>
        </r>
      </text>
    </comment>
  </commentList>
</comments>
</file>

<file path=xl/sharedStrings.xml><?xml version="1.0" encoding="utf-8"?>
<sst xmlns="http://schemas.openxmlformats.org/spreadsheetml/2006/main" count="671" uniqueCount="188">
  <si>
    <t>Место</t>
  </si>
  <si>
    <t>Команда</t>
  </si>
  <si>
    <t>№ в гонке</t>
  </si>
  <si>
    <t>Квала</t>
  </si>
  <si>
    <t>Гонка</t>
  </si>
  <si>
    <t>Лучший круг в гонке</t>
  </si>
  <si>
    <t>Время</t>
  </si>
  <si>
    <t>Круги</t>
  </si>
  <si>
    <t>Время/от лидера</t>
  </si>
  <si>
    <t>На круге</t>
  </si>
  <si>
    <t>1 круг</t>
  </si>
  <si>
    <t>3 круга</t>
  </si>
  <si>
    <t>6 кругов</t>
  </si>
  <si>
    <t>РЕЗУЛЬТАТЫ марафона "Чертова дюжина", 14.09.13</t>
  </si>
  <si>
    <t>АСВА</t>
  </si>
  <si>
    <t>BUTCHERY</t>
  </si>
  <si>
    <t>НУ, ПОГОДИ!</t>
  </si>
  <si>
    <t>ДРУЖБА</t>
  </si>
  <si>
    <t>BEERMIX</t>
  </si>
  <si>
    <t>СИМОН</t>
  </si>
  <si>
    <t>ИХТИАНДР</t>
  </si>
  <si>
    <t>ПИОНЕР</t>
  </si>
  <si>
    <t>DANIIL HARMS</t>
  </si>
  <si>
    <t>8 кругов</t>
  </si>
  <si>
    <t>32 круга</t>
  </si>
  <si>
    <t>59 кругов</t>
  </si>
  <si>
    <t>48 кругов</t>
  </si>
  <si>
    <t>28 кругов</t>
  </si>
  <si>
    <t>13:00:29.93</t>
  </si>
  <si>
    <t>Марафон  13 часов "Чёртова дюжина", 14.09.13</t>
  </si>
  <si>
    <t>Квалификация</t>
  </si>
  <si>
    <t>место</t>
  </si>
  <si>
    <t>Пилот</t>
  </si>
  <si>
    <t>№</t>
  </si>
  <si>
    <t>Среднее</t>
  </si>
  <si>
    <t>Ну погоди</t>
  </si>
  <si>
    <t>Наум</t>
  </si>
  <si>
    <t>1-1</t>
  </si>
  <si>
    <t>Пионер</t>
  </si>
  <si>
    <t>Стародубцев Андрей</t>
  </si>
  <si>
    <t>6-3</t>
  </si>
  <si>
    <t>Горошко Игорь</t>
  </si>
  <si>
    <t>1-2</t>
  </si>
  <si>
    <t>Юля</t>
  </si>
  <si>
    <t>6-4</t>
  </si>
  <si>
    <t>Жайворонок Дима</t>
  </si>
  <si>
    <t>1-3</t>
  </si>
  <si>
    <t>Козодой Саша</t>
  </si>
  <si>
    <t>6-5</t>
  </si>
  <si>
    <t>Стецык Сергей</t>
  </si>
  <si>
    <t>1-4</t>
  </si>
  <si>
    <t>Кислый Ярослав</t>
  </si>
  <si>
    <t>6-6</t>
  </si>
  <si>
    <t>Ихтиандр</t>
  </si>
  <si>
    <t>Гайдамака Любомир</t>
  </si>
  <si>
    <t>2-1</t>
  </si>
  <si>
    <t>Дружба</t>
  </si>
  <si>
    <t>Полупан Вова</t>
  </si>
  <si>
    <t>7-1</t>
  </si>
  <si>
    <t>Хавило Дима</t>
  </si>
  <si>
    <t>2-3</t>
  </si>
  <si>
    <t>Оля</t>
  </si>
  <si>
    <t>7-2</t>
  </si>
  <si>
    <t>Рой Остап</t>
  </si>
  <si>
    <t>2-4</t>
  </si>
  <si>
    <t>Галуза Андрей</t>
  </si>
  <si>
    <t>7-3</t>
  </si>
  <si>
    <t>Волков Андрей</t>
  </si>
  <si>
    <t>2-5</t>
  </si>
  <si>
    <t>Манило Денис</t>
  </si>
  <si>
    <t>7-4</t>
  </si>
  <si>
    <t>Beermix</t>
  </si>
  <si>
    <t>Комышан Ярослав</t>
  </si>
  <si>
    <t>3-1</t>
  </si>
  <si>
    <t>Симон</t>
  </si>
  <si>
    <t>Таволжан Виталий</t>
  </si>
  <si>
    <t>8-2</t>
  </si>
  <si>
    <t>Геронимус Максим</t>
  </si>
  <si>
    <t>3-2</t>
  </si>
  <si>
    <t>Чернов Саша</t>
  </si>
  <si>
    <t>8-3</t>
  </si>
  <si>
    <t>Скобликов Влад</t>
  </si>
  <si>
    <t>3-3</t>
  </si>
  <si>
    <t>Демьяненко Дима</t>
  </si>
  <si>
    <t>8-4</t>
  </si>
  <si>
    <t>Голубченко Саша</t>
  </si>
  <si>
    <t>3-4</t>
  </si>
  <si>
    <t>Вильнев Артем</t>
  </si>
  <si>
    <t>8-5</t>
  </si>
  <si>
    <t>Butchery</t>
  </si>
  <si>
    <t>Бахмацкий Олег</t>
  </si>
  <si>
    <t>4-1</t>
  </si>
  <si>
    <t>Шендрик Влад</t>
  </si>
  <si>
    <t>9-1</t>
  </si>
  <si>
    <t>Подолян Саша</t>
  </si>
  <si>
    <t>4-2</t>
  </si>
  <si>
    <t>Корец Андрей</t>
  </si>
  <si>
    <t>9-2</t>
  </si>
  <si>
    <t>Соколан Артем</t>
  </si>
  <si>
    <t>4-3</t>
  </si>
  <si>
    <t>Бойко Коля</t>
  </si>
  <si>
    <t>9-3</t>
  </si>
  <si>
    <t>Токаренко Гена</t>
  </si>
  <si>
    <t>4-4</t>
  </si>
  <si>
    <t>Шевелев Валера</t>
  </si>
  <si>
    <t>9-4</t>
  </si>
  <si>
    <t>Daniil Harms</t>
  </si>
  <si>
    <t>Теплухин Алексей</t>
  </si>
  <si>
    <t>5-1</t>
  </si>
  <si>
    <t>Фомин Алексей</t>
  </si>
  <si>
    <t>5-2</t>
  </si>
  <si>
    <t>Ксюша</t>
  </si>
  <si>
    <t>5-3</t>
  </si>
  <si>
    <t>Новиков Миша</t>
  </si>
  <si>
    <t>5-5</t>
  </si>
  <si>
    <t>Марафон "Чёртова дюжина", 14.09.13</t>
  </si>
  <si>
    <t>Регистрационная форма</t>
  </si>
  <si>
    <t>№ ком</t>
  </si>
  <si>
    <t>Вес</t>
  </si>
  <si>
    <t>Довес</t>
  </si>
  <si>
    <t>-</t>
  </si>
  <si>
    <t>Мирошниченко Дима</t>
  </si>
  <si>
    <t>6-1</t>
  </si>
  <si>
    <t>5</t>
  </si>
  <si>
    <t>Фалько Костя</t>
  </si>
  <si>
    <t>6-2</t>
  </si>
  <si>
    <t>2</t>
  </si>
  <si>
    <t>8</t>
  </si>
  <si>
    <t>Тыщенко Миша</t>
  </si>
  <si>
    <t>2-2</t>
  </si>
  <si>
    <t>13</t>
  </si>
  <si>
    <t>4</t>
  </si>
  <si>
    <t>Кошевой Вова</t>
  </si>
  <si>
    <t>8-1</t>
  </si>
  <si>
    <t>1</t>
  </si>
  <si>
    <t>20</t>
  </si>
  <si>
    <t>21</t>
  </si>
  <si>
    <t>6</t>
  </si>
  <si>
    <t>Члечко Сергей</t>
  </si>
  <si>
    <t>4-5</t>
  </si>
  <si>
    <t>3</t>
  </si>
  <si>
    <t>Мельников Егор</t>
  </si>
  <si>
    <t>5-4</t>
  </si>
  <si>
    <t>15</t>
  </si>
  <si>
    <t>Иванов Юра</t>
  </si>
  <si>
    <t>5-6</t>
  </si>
  <si>
    <t>Марафон 13 часов "Чёртова дюжина", 14.09.13</t>
  </si>
  <si>
    <t>Контрольная таблица пит стопов команд</t>
  </si>
  <si>
    <t>КОМАНДА</t>
  </si>
  <si>
    <t>№ пит стопа</t>
  </si>
  <si>
    <t>Карт №</t>
  </si>
  <si>
    <t>ЛК</t>
  </si>
  <si>
    <t>Сред. время круга на отрезке (без пита и поломок)</t>
  </si>
  <si>
    <t>Круг</t>
  </si>
  <si>
    <t>Общее время гонки (на часах)</t>
  </si>
  <si>
    <t>Время на трассе (мин)</t>
  </si>
  <si>
    <t>отрезок</t>
  </si>
  <si>
    <t>всего у пилота</t>
  </si>
  <si>
    <t>ср</t>
  </si>
  <si>
    <t>Шевелев</t>
  </si>
  <si>
    <t>Корец</t>
  </si>
  <si>
    <t>Шендрик</t>
  </si>
  <si>
    <t>Финиш</t>
  </si>
  <si>
    <t>Бойко</t>
  </si>
  <si>
    <t>стабильность на отрезке</t>
  </si>
  <si>
    <t>НУ ПОГОДИ</t>
  </si>
  <si>
    <t>НАУМ</t>
  </si>
  <si>
    <t>средяя стабильность по пилоту</t>
  </si>
  <si>
    <t>cреднее:</t>
  </si>
  <si>
    <t>стабильность</t>
  </si>
  <si>
    <t>ч</t>
  </si>
  <si>
    <t>т</t>
  </si>
  <si>
    <t>п</t>
  </si>
  <si>
    <t>б</t>
  </si>
  <si>
    <t>c</t>
  </si>
  <si>
    <t>ЛК на отрезке</t>
  </si>
  <si>
    <t>Полупан</t>
  </si>
  <si>
    <t>Галуза</t>
  </si>
  <si>
    <t>Манило</t>
  </si>
  <si>
    <t>BeerMix</t>
  </si>
  <si>
    <t>Т</t>
  </si>
  <si>
    <t>Р</t>
  </si>
  <si>
    <t>Г</t>
  </si>
  <si>
    <t>В</t>
  </si>
  <si>
    <t>Х</t>
  </si>
  <si>
    <t>Кошевой Владимир</t>
  </si>
  <si>
    <t>Демьяненко Дмитрий</t>
  </si>
  <si>
    <t>Даниил Хармс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</si>
</sst>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[$-F400]h:mm:ss\ AM/PM"/>
  </numFmts>
  <fonts count="15">
    <font>
      <sz val="11"/>
      <color theme="1"/>
      <name val="Calibri"/>
      <family val="2"/>
      <charset val="204"/>
      <scheme val="minor"/>
    </font>
    <font>
      <b/>
      <sz val="15"/>
      <color theme="1"/>
      <name val="Calibri"/>
      <family val="2"/>
      <charset val="204"/>
      <scheme val="minor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  <font>
      <b/>
      <sz val="15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20"/>
      <color indexed="8"/>
      <name val="Calibri"/>
      <family val="2"/>
      <charset val="204"/>
    </font>
    <font>
      <sz val="16"/>
      <color indexed="8"/>
      <name val="Calibri"/>
      <family val="2"/>
      <charset val="204"/>
    </font>
    <font>
      <sz val="12"/>
      <color indexed="8"/>
      <name val="Calibri"/>
      <family val="2"/>
      <charset val="204"/>
    </font>
    <font>
      <b/>
      <sz val="10"/>
      <color indexed="8"/>
      <name val="Calibri"/>
      <family val="2"/>
      <charset val="204"/>
    </font>
    <font>
      <sz val="48"/>
      <color indexed="8"/>
      <name val="Calibri"/>
      <family val="2"/>
      <charset val="204"/>
    </font>
    <font>
      <strike/>
      <sz val="12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  <font>
      <sz val="9"/>
      <color indexed="8"/>
      <name val="Calibri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60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1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6" xfId="0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8" xfId="0" applyBorder="1" applyAlignment="1">
      <alignment horizontal="left" vertical="center"/>
    </xf>
    <xf numFmtId="0" fontId="0" fillId="0" borderId="12" xfId="0" applyFont="1" applyBorder="1" applyAlignment="1">
      <alignment horizontal="center" vertical="center"/>
    </xf>
    <xf numFmtId="2" fontId="0" fillId="0" borderId="12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8" fillId="0" borderId="21" xfId="0" applyFont="1" applyBorder="1" applyAlignment="1">
      <alignment vertical="center"/>
    </xf>
    <xf numFmtId="49" fontId="8" fillId="0" borderId="5" xfId="0" applyNumberFormat="1" applyFont="1" applyBorder="1" applyAlignment="1">
      <alignment horizontal="center" vertical="center"/>
    </xf>
    <xf numFmtId="2" fontId="8" fillId="0" borderId="2" xfId="0" applyNumberFormat="1" applyFont="1" applyBorder="1" applyAlignment="1">
      <alignment horizontal="center" vertical="center"/>
    </xf>
    <xf numFmtId="0" fontId="8" fillId="0" borderId="29" xfId="0" applyFont="1" applyBorder="1" applyAlignment="1">
      <alignment vertical="center"/>
    </xf>
    <xf numFmtId="49" fontId="8" fillId="0" borderId="15" xfId="0" applyNumberFormat="1" applyFont="1" applyBorder="1" applyAlignment="1">
      <alignment horizontal="center" vertical="center"/>
    </xf>
    <xf numFmtId="2" fontId="8" fillId="0" borderId="13" xfId="0" applyNumberFormat="1" applyFont="1" applyBorder="1" applyAlignment="1">
      <alignment horizontal="center" vertical="center"/>
    </xf>
    <xf numFmtId="0" fontId="8" fillId="0" borderId="26" xfId="0" applyFont="1" applyBorder="1" applyAlignment="1">
      <alignment vertical="center"/>
    </xf>
    <xf numFmtId="49" fontId="8" fillId="0" borderId="11" xfId="0" applyNumberFormat="1" applyFont="1" applyBorder="1" applyAlignment="1">
      <alignment horizontal="center" vertical="center"/>
    </xf>
    <xf numFmtId="2" fontId="8" fillId="0" borderId="8" xfId="0" applyNumberFormat="1" applyFont="1" applyBorder="1" applyAlignment="1">
      <alignment horizontal="center" vertical="center"/>
    </xf>
    <xf numFmtId="0" fontId="8" fillId="0" borderId="31" xfId="0" applyFont="1" applyBorder="1" applyAlignment="1">
      <alignment vertical="center"/>
    </xf>
    <xf numFmtId="49" fontId="8" fillId="0" borderId="19" xfId="0" applyNumberFormat="1" applyFont="1" applyBorder="1" applyAlignment="1">
      <alignment horizontal="center" vertical="center"/>
    </xf>
    <xf numFmtId="2" fontId="8" fillId="0" borderId="16" xfId="0" applyNumberFormat="1" applyFont="1" applyBorder="1" applyAlignment="1">
      <alignment horizontal="center" vertical="center"/>
    </xf>
    <xf numFmtId="0" fontId="8" fillId="0" borderId="32" xfId="0" applyFont="1" applyBorder="1" applyAlignment="1">
      <alignment vertical="center"/>
    </xf>
    <xf numFmtId="49" fontId="8" fillId="0" borderId="33" xfId="0" applyNumberFormat="1" applyFont="1" applyBorder="1" applyAlignment="1">
      <alignment horizontal="center" vertical="center"/>
    </xf>
    <xf numFmtId="2" fontId="8" fillId="0" borderId="25" xfId="0" applyNumberFormat="1" applyFont="1" applyBorder="1" applyAlignment="1">
      <alignment horizontal="center" vertical="center"/>
    </xf>
    <xf numFmtId="0" fontId="8" fillId="0" borderId="21" xfId="0" applyFont="1" applyBorder="1" applyAlignment="1"/>
    <xf numFmtId="0" fontId="8" fillId="0" borderId="29" xfId="0" applyFont="1" applyBorder="1" applyAlignment="1"/>
    <xf numFmtId="0" fontId="8" fillId="0" borderId="32" xfId="0" applyFont="1" applyBorder="1" applyAlignment="1"/>
    <xf numFmtId="0" fontId="8" fillId="0" borderId="26" xfId="0" applyFont="1" applyBorder="1" applyAlignment="1"/>
    <xf numFmtId="0" fontId="8" fillId="0" borderId="31" xfId="0" applyFont="1" applyBorder="1" applyAlignment="1"/>
    <xf numFmtId="2" fontId="8" fillId="0" borderId="31" xfId="0" applyNumberFormat="1" applyFont="1" applyBorder="1" applyAlignment="1">
      <alignment horizontal="center" vertical="center"/>
    </xf>
    <xf numFmtId="2" fontId="8" fillId="0" borderId="29" xfId="0" applyNumberFormat="1" applyFont="1" applyBorder="1" applyAlignment="1">
      <alignment horizontal="center" vertical="center"/>
    </xf>
    <xf numFmtId="2" fontId="8" fillId="0" borderId="26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49" fontId="8" fillId="0" borderId="21" xfId="0" applyNumberFormat="1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49" fontId="8" fillId="0" borderId="29" xfId="0" applyNumberFormat="1" applyFont="1" applyBorder="1" applyAlignment="1">
      <alignment horizontal="center" vertical="center"/>
    </xf>
    <xf numFmtId="0" fontId="0" fillId="0" borderId="29" xfId="0" applyBorder="1" applyAlignment="1">
      <alignment vertical="center"/>
    </xf>
    <xf numFmtId="49" fontId="0" fillId="0" borderId="15" xfId="0" applyNumberForma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49" fontId="9" fillId="0" borderId="29" xfId="0" applyNumberFormat="1" applyFont="1" applyBorder="1" applyAlignment="1">
      <alignment horizontal="center" vertical="center"/>
    </xf>
    <xf numFmtId="0" fontId="0" fillId="0" borderId="26" xfId="0" applyBorder="1" applyAlignment="1">
      <alignment vertical="center"/>
    </xf>
    <xf numFmtId="49" fontId="0" fillId="0" borderId="11" xfId="0" applyNumberForma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49" fontId="9" fillId="0" borderId="26" xfId="0" applyNumberFormat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49" fontId="8" fillId="0" borderId="26" xfId="0" applyNumberFormat="1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49" fontId="8" fillId="0" borderId="31" xfId="0" applyNumberFormat="1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49" fontId="8" fillId="0" borderId="32" xfId="0" applyNumberFormat="1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3" xfId="0" applyFont="1" applyBorder="1" applyAlignment="1">
      <alignment vertical="center"/>
    </xf>
    <xf numFmtId="0" fontId="8" fillId="0" borderId="11" xfId="0" applyFont="1" applyBorder="1" applyAlignment="1">
      <alignment horizontal="center" vertical="center"/>
    </xf>
    <xf numFmtId="0" fontId="8" fillId="0" borderId="8" xfId="0" applyFont="1" applyBorder="1" applyAlignment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 textRotation="90" wrapText="1"/>
    </xf>
    <xf numFmtId="0" fontId="7" fillId="0" borderId="13" xfId="0" applyFont="1" applyFill="1" applyBorder="1" applyAlignment="1">
      <alignment horizontal="center" vertical="center" textRotation="90" wrapText="1"/>
    </xf>
    <xf numFmtId="0" fontId="7" fillId="0" borderId="8" xfId="0" applyFont="1" applyFill="1" applyBorder="1" applyAlignment="1">
      <alignment horizontal="center" vertical="center" textRotation="90" wrapText="1"/>
    </xf>
    <xf numFmtId="0" fontId="0" fillId="0" borderId="23" xfId="0" applyFill="1" applyBorder="1" applyAlignment="1">
      <alignment horizontal="center" vertical="center"/>
    </xf>
    <xf numFmtId="0" fontId="7" fillId="0" borderId="25" xfId="0" applyFont="1" applyFill="1" applyBorder="1" applyAlignment="1">
      <alignment horizontal="center" vertical="center" textRotation="90" wrapText="1"/>
    </xf>
    <xf numFmtId="0" fontId="0" fillId="0" borderId="1" xfId="0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textRotation="90" wrapText="1"/>
    </xf>
    <xf numFmtId="0" fontId="7" fillId="0" borderId="34" xfId="0" applyFont="1" applyFill="1" applyBorder="1" applyAlignment="1">
      <alignment horizontal="center" vertical="center" textRotation="90" wrapText="1"/>
    </xf>
    <xf numFmtId="0" fontId="7" fillId="0" borderId="9" xfId="0" applyFont="1" applyFill="1" applyBorder="1" applyAlignment="1">
      <alignment horizontal="center" vertical="center" textRotation="90" wrapText="1"/>
    </xf>
    <xf numFmtId="0" fontId="7" fillId="0" borderId="2" xfId="0" applyFont="1" applyFill="1" applyBorder="1" applyAlignment="1">
      <alignment horizontal="center" vertical="center" textRotation="90" wrapText="1"/>
    </xf>
    <xf numFmtId="0" fontId="0" fillId="0" borderId="6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20" xfId="0" applyFont="1" applyBorder="1" applyAlignment="1">
      <alignment horizontal="center"/>
    </xf>
    <xf numFmtId="0" fontId="6" fillId="0" borderId="2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2" fontId="8" fillId="0" borderId="27" xfId="0" applyNumberFormat="1" applyFont="1" applyBorder="1" applyAlignment="1">
      <alignment horizontal="center" vertical="center"/>
    </xf>
    <xf numFmtId="2" fontId="8" fillId="0" borderId="30" xfId="0" applyNumberFormat="1" applyFont="1" applyBorder="1" applyAlignment="1">
      <alignment horizontal="center" vertical="center"/>
    </xf>
    <xf numFmtId="2" fontId="8" fillId="0" borderId="22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6" fillId="0" borderId="35" xfId="0" applyFont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10" fillId="0" borderId="36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 wrapText="1"/>
    </xf>
    <xf numFmtId="0" fontId="6" fillId="0" borderId="38" xfId="0" applyFont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0" fontId="6" fillId="0" borderId="40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10" fillId="0" borderId="39" xfId="0" applyFont="1" applyBorder="1" applyAlignment="1">
      <alignment horizontal="center" vertical="center" wrapText="1"/>
    </xf>
    <xf numFmtId="0" fontId="6" fillId="0" borderId="41" xfId="0" applyFont="1" applyBorder="1" applyAlignment="1">
      <alignment horizontal="center" vertical="center" wrapText="1"/>
    </xf>
    <xf numFmtId="0" fontId="0" fillId="0" borderId="42" xfId="0" applyBorder="1" applyAlignment="1">
      <alignment horizontal="center"/>
    </xf>
    <xf numFmtId="0" fontId="11" fillId="0" borderId="35" xfId="0" applyFont="1" applyBorder="1" applyAlignment="1">
      <alignment horizontal="center" vertical="center" textRotation="90"/>
    </xf>
    <xf numFmtId="0" fontId="0" fillId="0" borderId="6" xfId="0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164" fontId="9" fillId="0" borderId="42" xfId="0" applyNumberFormat="1" applyFont="1" applyBorder="1" applyAlignment="1">
      <alignment horizontal="center" vertical="center"/>
    </xf>
    <xf numFmtId="165" fontId="9" fillId="0" borderId="42" xfId="0" applyNumberFormat="1" applyFont="1" applyBorder="1" applyAlignment="1">
      <alignment horizontal="center" vertical="center"/>
    </xf>
    <xf numFmtId="165" fontId="12" fillId="0" borderId="13" xfId="0" applyNumberFormat="1" applyFont="1" applyBorder="1" applyAlignment="1">
      <alignment horizontal="center" vertical="center"/>
    </xf>
    <xf numFmtId="164" fontId="0" fillId="0" borderId="42" xfId="0" applyNumberFormat="1" applyBorder="1" applyAlignment="1">
      <alignment vertical="center"/>
    </xf>
    <xf numFmtId="0" fontId="11" fillId="0" borderId="43" xfId="0" applyFont="1" applyBorder="1" applyAlignment="1">
      <alignment horizontal="center" vertical="center" textRotation="90"/>
    </xf>
    <xf numFmtId="0" fontId="0" fillId="0" borderId="44" xfId="0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3" fillId="0" borderId="45" xfId="0" applyFont="1" applyBorder="1" applyAlignment="1">
      <alignment horizontal="center" vertical="center"/>
    </xf>
    <xf numFmtId="164" fontId="9" fillId="0" borderId="33" xfId="0" applyNumberFormat="1" applyFont="1" applyBorder="1" applyAlignment="1">
      <alignment horizontal="center" vertical="center"/>
    </xf>
    <xf numFmtId="0" fontId="9" fillId="0" borderId="46" xfId="0" applyFont="1" applyBorder="1" applyAlignment="1">
      <alignment horizontal="center" vertical="center"/>
    </xf>
    <xf numFmtId="164" fontId="13" fillId="0" borderId="45" xfId="0" applyNumberFormat="1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13" fillId="2" borderId="45" xfId="0" applyFont="1" applyFill="1" applyBorder="1" applyAlignment="1">
      <alignment horizontal="center" vertical="center"/>
    </xf>
    <xf numFmtId="164" fontId="9" fillId="2" borderId="19" xfId="0" applyNumberFormat="1" applyFont="1" applyFill="1" applyBorder="1" applyAlignment="1">
      <alignment horizontal="center" vertical="center"/>
    </xf>
    <xf numFmtId="164" fontId="0" fillId="2" borderId="42" xfId="0" applyNumberFormat="1" applyFill="1" applyBorder="1" applyAlignment="1">
      <alignment vertical="center"/>
    </xf>
    <xf numFmtId="0" fontId="9" fillId="0" borderId="44" xfId="0" applyFont="1" applyBorder="1" applyAlignment="1">
      <alignment horizontal="center" vertical="center"/>
    </xf>
    <xf numFmtId="165" fontId="9" fillId="3" borderId="13" xfId="0" applyNumberFormat="1" applyFont="1" applyFill="1" applyBorder="1" applyAlignment="1">
      <alignment horizontal="center" vertical="center"/>
    </xf>
    <xf numFmtId="164" fontId="9" fillId="0" borderId="15" xfId="0" applyNumberFormat="1" applyFont="1" applyBorder="1" applyAlignment="1">
      <alignment horizontal="center" vertical="center"/>
    </xf>
    <xf numFmtId="0" fontId="13" fillId="4" borderId="45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165" fontId="9" fillId="5" borderId="13" xfId="0" applyNumberFormat="1" applyFont="1" applyFill="1" applyBorder="1" applyAlignment="1">
      <alignment horizontal="center" vertical="center"/>
    </xf>
    <xf numFmtId="165" fontId="9" fillId="6" borderId="13" xfId="0" applyNumberFormat="1" applyFont="1" applyFill="1" applyBorder="1" applyAlignment="1">
      <alignment horizontal="center" vertical="center"/>
    </xf>
    <xf numFmtId="0" fontId="11" fillId="0" borderId="38" xfId="0" applyFont="1" applyBorder="1" applyAlignment="1">
      <alignment horizontal="center" vertical="center" textRotation="90"/>
    </xf>
    <xf numFmtId="0" fontId="0" fillId="0" borderId="40" xfId="0" applyBorder="1" applyAlignment="1">
      <alignment horizontal="center" vertical="center"/>
    </xf>
    <xf numFmtId="165" fontId="9" fillId="7" borderId="13" xfId="0" applyNumberFormat="1" applyFont="1" applyFill="1" applyBorder="1" applyAlignment="1">
      <alignment horizontal="center" vertical="center"/>
    </xf>
    <xf numFmtId="164" fontId="0" fillId="0" borderId="0" xfId="0" applyNumberFormat="1" applyAlignment="1">
      <alignment horizontal="center"/>
    </xf>
    <xf numFmtId="0" fontId="14" fillId="0" borderId="0" xfId="0" applyFont="1"/>
    <xf numFmtId="0" fontId="14" fillId="0" borderId="0" xfId="0" applyFont="1" applyAlignment="1">
      <alignment horizontal="center"/>
    </xf>
    <xf numFmtId="0" fontId="14" fillId="0" borderId="42" xfId="0" applyNumberFormat="1" applyFont="1" applyBorder="1" applyAlignment="1">
      <alignment horizontal="center" wrapText="1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164" fontId="9" fillId="0" borderId="6" xfId="0" applyNumberFormat="1" applyFont="1" applyBorder="1" applyAlignment="1">
      <alignment horizontal="center" vertical="center"/>
    </xf>
    <xf numFmtId="165" fontId="9" fillId="0" borderId="6" xfId="0" applyNumberFormat="1" applyFont="1" applyBorder="1" applyAlignment="1">
      <alignment horizontal="center" vertical="center"/>
    </xf>
    <xf numFmtId="165" fontId="12" fillId="0" borderId="2" xfId="0" applyNumberFormat="1" applyFont="1" applyBorder="1" applyAlignment="1">
      <alignment horizontal="center" vertical="center"/>
    </xf>
    <xf numFmtId="164" fontId="14" fillId="0" borderId="42" xfId="0" applyNumberFormat="1" applyFont="1" applyBorder="1" applyAlignment="1">
      <alignment vertical="center"/>
    </xf>
    <xf numFmtId="0" fontId="9" fillId="0" borderId="14" xfId="0" applyFont="1" applyBorder="1" applyAlignment="1">
      <alignment horizontal="center" vertical="center"/>
    </xf>
    <xf numFmtId="0" fontId="9" fillId="0" borderId="42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47" xfId="0" applyFont="1" applyBorder="1" applyAlignment="1">
      <alignment horizontal="center" vertical="center"/>
    </xf>
    <xf numFmtId="0" fontId="13" fillId="0" borderId="45" xfId="0" applyFont="1" applyFill="1" applyBorder="1" applyAlignment="1">
      <alignment horizontal="center" vertical="center"/>
    </xf>
    <xf numFmtId="0" fontId="9" fillId="0" borderId="44" xfId="0" applyFont="1" applyFill="1" applyBorder="1" applyAlignment="1">
      <alignment horizontal="center" vertical="center"/>
    </xf>
    <xf numFmtId="164" fontId="9" fillId="0" borderId="24" xfId="0" applyNumberFormat="1" applyFont="1" applyBorder="1" applyAlignment="1">
      <alignment horizontal="center" vertical="center"/>
    </xf>
    <xf numFmtId="0" fontId="9" fillId="0" borderId="25" xfId="0" applyFont="1" applyFill="1" applyBorder="1" applyAlignment="1">
      <alignment horizontal="center" vertical="center"/>
    </xf>
    <xf numFmtId="164" fontId="9" fillId="0" borderId="19" xfId="0" applyNumberFormat="1" applyFont="1" applyBorder="1" applyAlignment="1">
      <alignment horizontal="center" vertical="center"/>
    </xf>
    <xf numFmtId="164" fontId="0" fillId="0" borderId="0" xfId="0" applyNumberFormat="1" applyAlignment="1">
      <alignment vertical="center"/>
    </xf>
    <xf numFmtId="0" fontId="0" fillId="0" borderId="0" xfId="0" applyBorder="1" applyAlignment="1">
      <alignment horizontal="center" vertical="center"/>
    </xf>
    <xf numFmtId="164" fontId="0" fillId="8" borderId="42" xfId="0" applyNumberFormat="1" applyFill="1" applyBorder="1" applyAlignment="1">
      <alignment vertical="center"/>
    </xf>
    <xf numFmtId="0" fontId="9" fillId="8" borderId="44" xfId="0" applyFont="1" applyFill="1" applyBorder="1" applyAlignment="1">
      <alignment horizontal="center" vertical="center"/>
    </xf>
    <xf numFmtId="164" fontId="9" fillId="8" borderId="42" xfId="0" applyNumberFormat="1" applyFont="1" applyFill="1" applyBorder="1" applyAlignment="1">
      <alignment horizontal="center" vertical="center"/>
    </xf>
    <xf numFmtId="164" fontId="14" fillId="8" borderId="42" xfId="0" applyNumberFormat="1" applyFont="1" applyFill="1" applyBorder="1" applyAlignment="1">
      <alignment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40" xfId="0" applyFont="1" applyBorder="1" applyAlignment="1">
      <alignment horizontal="center" vertical="center"/>
    </xf>
    <xf numFmtId="164" fontId="9" fillId="0" borderId="40" xfId="0" applyNumberFormat="1" applyFont="1" applyBorder="1" applyAlignment="1">
      <alignment horizontal="center" vertical="center"/>
    </xf>
    <xf numFmtId="165" fontId="9" fillId="0" borderId="40" xfId="0" applyNumberFormat="1" applyFont="1" applyBorder="1" applyAlignment="1">
      <alignment horizontal="center" vertical="center"/>
    </xf>
    <xf numFmtId="165" fontId="9" fillId="6" borderId="8" xfId="0" applyNumberFormat="1" applyFont="1" applyFill="1" applyBorder="1" applyAlignment="1">
      <alignment horizontal="center" vertical="center"/>
    </xf>
    <xf numFmtId="0" fontId="14" fillId="0" borderId="42" xfId="0" applyFont="1" applyBorder="1" applyAlignment="1">
      <alignment horizontal="center"/>
    </xf>
    <xf numFmtId="0" fontId="9" fillId="0" borderId="48" xfId="0" applyFont="1" applyBorder="1" applyAlignment="1">
      <alignment horizontal="center" vertical="center"/>
    </xf>
    <xf numFmtId="0" fontId="9" fillId="8" borderId="42" xfId="0" applyFont="1" applyFill="1" applyBorder="1" applyAlignment="1">
      <alignment horizontal="center" vertical="center"/>
    </xf>
    <xf numFmtId="165" fontId="9" fillId="9" borderId="13" xfId="0" applyNumberFormat="1" applyFont="1" applyFill="1" applyBorder="1" applyAlignment="1">
      <alignment horizontal="center" vertical="center"/>
    </xf>
    <xf numFmtId="164" fontId="9" fillId="0" borderId="42" xfId="0" applyNumberFormat="1" applyFont="1" applyFill="1" applyBorder="1" applyAlignment="1">
      <alignment horizontal="center" vertical="center"/>
    </xf>
    <xf numFmtId="164" fontId="0" fillId="8" borderId="0" xfId="0" applyNumberFormat="1" applyFill="1" applyAlignment="1">
      <alignment vertical="center"/>
    </xf>
    <xf numFmtId="164" fontId="9" fillId="2" borderId="15" xfId="0" applyNumberFormat="1" applyFont="1" applyFill="1" applyBorder="1" applyAlignment="1">
      <alignment horizontal="center" vertical="center"/>
    </xf>
    <xf numFmtId="0" fontId="9" fillId="4" borderId="42" xfId="0" applyFont="1" applyFill="1" applyBorder="1" applyAlignment="1">
      <alignment horizontal="center" vertical="center"/>
    </xf>
    <xf numFmtId="164" fontId="0" fillId="2" borderId="0" xfId="0" applyNumberFormat="1" applyFill="1" applyAlignment="1">
      <alignment vertical="center"/>
    </xf>
    <xf numFmtId="164" fontId="9" fillId="0" borderId="44" xfId="0" applyNumberFormat="1" applyFont="1" applyBorder="1" applyAlignment="1">
      <alignment horizontal="center" vertical="center"/>
    </xf>
    <xf numFmtId="164" fontId="0" fillId="0" borderId="42" xfId="0" applyNumberFormat="1" applyBorder="1" applyAlignment="1">
      <alignment horizontal="center"/>
    </xf>
    <xf numFmtId="164" fontId="14" fillId="0" borderId="0" xfId="0" applyNumberFormat="1" applyFont="1" applyAlignment="1">
      <alignment horizontal="center" vertical="center" wrapText="1"/>
    </xf>
    <xf numFmtId="164" fontId="14" fillId="0" borderId="42" xfId="0" applyNumberFormat="1" applyFont="1" applyBorder="1" applyAlignment="1">
      <alignment horizontal="center" vertical="center" wrapText="1"/>
    </xf>
    <xf numFmtId="164" fontId="9" fillId="0" borderId="45" xfId="0" applyNumberFormat="1" applyFont="1" applyFill="1" applyBorder="1" applyAlignment="1">
      <alignment horizontal="center" vertical="center"/>
    </xf>
    <xf numFmtId="0" fontId="9" fillId="8" borderId="24" xfId="0" applyFont="1" applyFill="1" applyBorder="1" applyAlignment="1">
      <alignment horizontal="center" vertical="center"/>
    </xf>
    <xf numFmtId="164" fontId="14" fillId="8" borderId="42" xfId="0" applyNumberFormat="1" applyFont="1" applyFill="1" applyBorder="1" applyAlignment="1">
      <alignment horizontal="center" vertical="center" wrapText="1"/>
    </xf>
    <xf numFmtId="0" fontId="0" fillId="0" borderId="42" xfId="0" applyBorder="1" applyAlignment="1">
      <alignment vertical="center"/>
    </xf>
    <xf numFmtId="165" fontId="9" fillId="9" borderId="8" xfId="0" applyNumberFormat="1" applyFont="1" applyFill="1" applyBorder="1" applyAlignment="1">
      <alignment horizontal="center" vertical="center"/>
    </xf>
    <xf numFmtId="0" fontId="9" fillId="2" borderId="44" xfId="0" applyFont="1" applyFill="1" applyBorder="1" applyAlignment="1">
      <alignment horizontal="center" vertical="center"/>
    </xf>
    <xf numFmtId="164" fontId="9" fillId="2" borderId="42" xfId="0" applyNumberFormat="1" applyFont="1" applyFill="1" applyBorder="1" applyAlignment="1">
      <alignment horizontal="center" vertical="center"/>
    </xf>
    <xf numFmtId="165" fontId="9" fillId="0" borderId="13" xfId="0" applyNumberFormat="1" applyFont="1" applyBorder="1" applyAlignment="1">
      <alignment horizontal="center" vertical="center"/>
    </xf>
    <xf numFmtId="164" fontId="0" fillId="0" borderId="44" xfId="0" applyNumberFormat="1" applyBorder="1" applyAlignment="1">
      <alignment horizontal="center"/>
    </xf>
    <xf numFmtId="165" fontId="9" fillId="4" borderId="13" xfId="0" applyNumberFormat="1" applyFont="1" applyFill="1" applyBorder="1" applyAlignment="1">
      <alignment horizontal="center" vertical="center"/>
    </xf>
    <xf numFmtId="164" fontId="13" fillId="0" borderId="45" xfId="0" applyNumberFormat="1" applyFont="1" applyFill="1" applyBorder="1" applyAlignment="1">
      <alignment horizontal="center" vertical="center"/>
    </xf>
    <xf numFmtId="0" fontId="13" fillId="2" borderId="22" xfId="0" applyFont="1" applyFill="1" applyBorder="1" applyAlignment="1">
      <alignment horizontal="center" vertical="center"/>
    </xf>
    <xf numFmtId="164" fontId="9" fillId="2" borderId="33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35"/>
  <sheetViews>
    <sheetView zoomScale="75" zoomScaleNormal="75" workbookViewId="0">
      <selection activeCell="E24" sqref="E24"/>
    </sheetView>
  </sheetViews>
  <sheetFormatPr defaultRowHeight="15"/>
  <cols>
    <col min="3" max="3" width="32.5703125" customWidth="1"/>
    <col min="4" max="4" width="8.42578125" customWidth="1"/>
    <col min="5" max="6" width="11.28515625" customWidth="1"/>
    <col min="7" max="7" width="3.85546875" customWidth="1"/>
    <col min="10" max="10" width="31.140625" customWidth="1"/>
    <col min="11" max="11" width="10.28515625" bestFit="1" customWidth="1"/>
    <col min="12" max="12" width="9.85546875" customWidth="1"/>
  </cols>
  <sheetData>
    <row r="1" spans="1:13" ht="19.5">
      <c r="A1" s="94" t="s">
        <v>29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</row>
    <row r="2" spans="1:13" ht="5.25" customHeight="1"/>
    <row r="3" spans="1:13" ht="15.75" customHeight="1" thickBot="1">
      <c r="A3" s="95" t="s">
        <v>116</v>
      </c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</row>
    <row r="4" spans="1:13" s="1" customFormat="1" ht="20.25" customHeight="1">
      <c r="A4" s="83" t="s">
        <v>117</v>
      </c>
      <c r="B4" s="88" t="s">
        <v>1</v>
      </c>
      <c r="C4" s="90" t="s">
        <v>32</v>
      </c>
      <c r="D4" s="90" t="s">
        <v>33</v>
      </c>
      <c r="E4" s="96" t="s">
        <v>118</v>
      </c>
      <c r="F4" s="98" t="s">
        <v>119</v>
      </c>
      <c r="G4" s="100"/>
      <c r="H4" s="83" t="s">
        <v>117</v>
      </c>
      <c r="I4" s="88" t="s">
        <v>1</v>
      </c>
      <c r="J4" s="90" t="s">
        <v>32</v>
      </c>
      <c r="K4" s="90" t="s">
        <v>33</v>
      </c>
      <c r="L4" s="90" t="s">
        <v>118</v>
      </c>
      <c r="M4" s="92" t="s">
        <v>119</v>
      </c>
    </row>
    <row r="5" spans="1:13" s="1" customFormat="1" ht="24" customHeight="1" thickBot="1">
      <c r="A5" s="81"/>
      <c r="B5" s="89"/>
      <c r="C5" s="91"/>
      <c r="D5" s="91"/>
      <c r="E5" s="97"/>
      <c r="F5" s="99"/>
      <c r="G5" s="101"/>
      <c r="H5" s="81"/>
      <c r="I5" s="89"/>
      <c r="J5" s="91"/>
      <c r="K5" s="91"/>
      <c r="L5" s="91"/>
      <c r="M5" s="93"/>
    </row>
    <row r="6" spans="1:13" s="2" customFormat="1" ht="20.100000000000001" customHeight="1">
      <c r="A6" s="83">
        <v>1</v>
      </c>
      <c r="B6" s="87" t="s">
        <v>35</v>
      </c>
      <c r="C6" s="27" t="s">
        <v>36</v>
      </c>
      <c r="D6" s="28" t="s">
        <v>37</v>
      </c>
      <c r="E6" s="50">
        <v>80</v>
      </c>
      <c r="F6" s="51" t="s">
        <v>120</v>
      </c>
      <c r="G6" s="101"/>
      <c r="H6" s="83">
        <v>6</v>
      </c>
      <c r="I6" s="87" t="s">
        <v>38</v>
      </c>
      <c r="J6" s="27" t="s">
        <v>121</v>
      </c>
      <c r="K6" s="28" t="s">
        <v>122</v>
      </c>
      <c r="L6" s="50">
        <v>75</v>
      </c>
      <c r="M6" s="52" t="s">
        <v>123</v>
      </c>
    </row>
    <row r="7" spans="1:13" s="2" customFormat="1" ht="20.100000000000001" customHeight="1">
      <c r="A7" s="76"/>
      <c r="B7" s="79"/>
      <c r="C7" s="30" t="s">
        <v>41</v>
      </c>
      <c r="D7" s="31" t="s">
        <v>42</v>
      </c>
      <c r="E7" s="53">
        <v>83</v>
      </c>
      <c r="F7" s="54" t="s">
        <v>120</v>
      </c>
      <c r="G7" s="101"/>
      <c r="H7" s="76"/>
      <c r="I7" s="79"/>
      <c r="J7" s="30" t="s">
        <v>124</v>
      </c>
      <c r="K7" s="31" t="s">
        <v>125</v>
      </c>
      <c r="L7" s="53">
        <v>93</v>
      </c>
      <c r="M7" s="55" t="s">
        <v>120</v>
      </c>
    </row>
    <row r="8" spans="1:13" s="2" customFormat="1" ht="20.100000000000001" customHeight="1">
      <c r="A8" s="76"/>
      <c r="B8" s="79"/>
      <c r="C8" s="30" t="s">
        <v>45</v>
      </c>
      <c r="D8" s="31" t="s">
        <v>46</v>
      </c>
      <c r="E8" s="53">
        <v>78</v>
      </c>
      <c r="F8" s="55" t="s">
        <v>126</v>
      </c>
      <c r="G8" s="101"/>
      <c r="H8" s="76"/>
      <c r="I8" s="79"/>
      <c r="J8" s="30" t="s">
        <v>39</v>
      </c>
      <c r="K8" s="31" t="s">
        <v>40</v>
      </c>
      <c r="L8" s="53">
        <v>75</v>
      </c>
      <c r="M8" s="55" t="s">
        <v>123</v>
      </c>
    </row>
    <row r="9" spans="1:13" s="2" customFormat="1" ht="20.100000000000001" customHeight="1">
      <c r="A9" s="76"/>
      <c r="B9" s="79"/>
      <c r="C9" s="30" t="s">
        <v>49</v>
      </c>
      <c r="D9" s="31" t="s">
        <v>50</v>
      </c>
      <c r="E9" s="53">
        <v>71</v>
      </c>
      <c r="F9" s="55" t="s">
        <v>120</v>
      </c>
      <c r="G9" s="101"/>
      <c r="H9" s="76"/>
      <c r="I9" s="79"/>
      <c r="J9" s="30" t="s">
        <v>43</v>
      </c>
      <c r="K9" s="31" t="s">
        <v>44</v>
      </c>
      <c r="L9" s="53">
        <v>80</v>
      </c>
      <c r="M9" s="55" t="s">
        <v>120</v>
      </c>
    </row>
    <row r="10" spans="1:13" s="2" customFormat="1" ht="20.100000000000001" customHeight="1">
      <c r="A10" s="76"/>
      <c r="B10" s="79"/>
      <c r="C10" s="56"/>
      <c r="D10" s="57"/>
      <c r="E10" s="58"/>
      <c r="F10" s="59"/>
      <c r="G10" s="101"/>
      <c r="H10" s="76"/>
      <c r="I10" s="79"/>
      <c r="J10" s="30" t="s">
        <v>47</v>
      </c>
      <c r="K10" s="31" t="s">
        <v>48</v>
      </c>
      <c r="L10" s="53">
        <v>72</v>
      </c>
      <c r="M10" s="55" t="s">
        <v>127</v>
      </c>
    </row>
    <row r="11" spans="1:13" s="2" customFormat="1" ht="20.100000000000001" customHeight="1" thickBot="1">
      <c r="A11" s="77"/>
      <c r="B11" s="80"/>
      <c r="C11" s="60"/>
      <c r="D11" s="61"/>
      <c r="E11" s="62"/>
      <c r="F11" s="63"/>
      <c r="G11" s="101"/>
      <c r="H11" s="77"/>
      <c r="I11" s="80"/>
      <c r="J11" s="33" t="s">
        <v>51</v>
      </c>
      <c r="K11" s="34" t="s">
        <v>52</v>
      </c>
      <c r="L11" s="64">
        <v>94</v>
      </c>
      <c r="M11" s="65" t="s">
        <v>120</v>
      </c>
    </row>
    <row r="12" spans="1:13" s="2" customFormat="1" ht="20.100000000000001" customHeight="1">
      <c r="A12" s="75">
        <v>2</v>
      </c>
      <c r="B12" s="78" t="s">
        <v>53</v>
      </c>
      <c r="C12" s="36" t="s">
        <v>54</v>
      </c>
      <c r="D12" s="37" t="s">
        <v>55</v>
      </c>
      <c r="E12" s="66">
        <v>81</v>
      </c>
      <c r="F12" s="67" t="s">
        <v>120</v>
      </c>
      <c r="G12" s="101"/>
      <c r="H12" s="75">
        <v>7</v>
      </c>
      <c r="I12" s="78" t="s">
        <v>56</v>
      </c>
      <c r="J12" s="36" t="s">
        <v>57</v>
      </c>
      <c r="K12" s="37" t="s">
        <v>58</v>
      </c>
      <c r="L12" s="66">
        <v>75</v>
      </c>
      <c r="M12" s="67" t="s">
        <v>123</v>
      </c>
    </row>
    <row r="13" spans="1:13" s="2" customFormat="1" ht="20.100000000000001" customHeight="1">
      <c r="A13" s="76"/>
      <c r="B13" s="79"/>
      <c r="C13" s="30" t="s">
        <v>128</v>
      </c>
      <c r="D13" s="31" t="s">
        <v>129</v>
      </c>
      <c r="E13" s="53">
        <v>81</v>
      </c>
      <c r="F13" s="55" t="s">
        <v>120</v>
      </c>
      <c r="G13" s="101"/>
      <c r="H13" s="76"/>
      <c r="I13" s="79"/>
      <c r="J13" s="30" t="s">
        <v>61</v>
      </c>
      <c r="K13" s="31" t="s">
        <v>62</v>
      </c>
      <c r="L13" s="53">
        <v>80</v>
      </c>
      <c r="M13" s="55" t="s">
        <v>120</v>
      </c>
    </row>
    <row r="14" spans="1:13" s="2" customFormat="1" ht="20.100000000000001" customHeight="1">
      <c r="A14" s="76"/>
      <c r="B14" s="79"/>
      <c r="C14" s="30" t="s">
        <v>59</v>
      </c>
      <c r="D14" s="31" t="s">
        <v>60</v>
      </c>
      <c r="E14" s="53">
        <v>67</v>
      </c>
      <c r="F14" s="55" t="s">
        <v>130</v>
      </c>
      <c r="G14" s="101"/>
      <c r="H14" s="76"/>
      <c r="I14" s="79"/>
      <c r="J14" s="30" t="s">
        <v>65</v>
      </c>
      <c r="K14" s="31" t="s">
        <v>66</v>
      </c>
      <c r="L14" s="53">
        <v>75</v>
      </c>
      <c r="M14" s="55" t="s">
        <v>123</v>
      </c>
    </row>
    <row r="15" spans="1:13" s="2" customFormat="1" ht="20.100000000000001" customHeight="1">
      <c r="A15" s="76"/>
      <c r="B15" s="79"/>
      <c r="C15" s="30" t="s">
        <v>63</v>
      </c>
      <c r="D15" s="31" t="s">
        <v>64</v>
      </c>
      <c r="E15" s="53">
        <v>92</v>
      </c>
      <c r="F15" s="55" t="s">
        <v>120</v>
      </c>
      <c r="G15" s="101"/>
      <c r="H15" s="76"/>
      <c r="I15" s="79"/>
      <c r="J15" s="30" t="s">
        <v>69</v>
      </c>
      <c r="K15" s="31" t="s">
        <v>70</v>
      </c>
      <c r="L15" s="53">
        <v>81</v>
      </c>
      <c r="M15" s="55" t="s">
        <v>120</v>
      </c>
    </row>
    <row r="16" spans="1:13" s="2" customFormat="1" ht="20.100000000000001" customHeight="1">
      <c r="A16" s="76"/>
      <c r="B16" s="79"/>
      <c r="C16" s="30" t="s">
        <v>67</v>
      </c>
      <c r="D16" s="31" t="s">
        <v>68</v>
      </c>
      <c r="E16" s="53">
        <v>76</v>
      </c>
      <c r="F16" s="55" t="s">
        <v>131</v>
      </c>
      <c r="G16" s="101"/>
      <c r="H16" s="76"/>
      <c r="I16" s="79"/>
      <c r="J16" s="30"/>
      <c r="K16" s="31"/>
      <c r="L16" s="53"/>
      <c r="M16" s="55"/>
    </row>
    <row r="17" spans="1:13" s="2" customFormat="1" ht="20.100000000000001" customHeight="1" thickBot="1">
      <c r="A17" s="81"/>
      <c r="B17" s="82"/>
      <c r="C17" s="39"/>
      <c r="D17" s="40"/>
      <c r="E17" s="68"/>
      <c r="F17" s="69"/>
      <c r="G17" s="101"/>
      <c r="H17" s="81"/>
      <c r="I17" s="82"/>
      <c r="J17" s="39"/>
      <c r="K17" s="40"/>
      <c r="L17" s="68"/>
      <c r="M17" s="69"/>
    </row>
    <row r="18" spans="1:13" s="2" customFormat="1" ht="20.100000000000001" customHeight="1">
      <c r="A18" s="83">
        <v>3</v>
      </c>
      <c r="B18" s="84" t="s">
        <v>71</v>
      </c>
      <c r="C18" s="27" t="s">
        <v>72</v>
      </c>
      <c r="D18" s="28" t="s">
        <v>73</v>
      </c>
      <c r="E18" s="50">
        <v>85</v>
      </c>
      <c r="F18" s="52" t="s">
        <v>120</v>
      </c>
      <c r="G18" s="101"/>
      <c r="H18" s="83">
        <v>8</v>
      </c>
      <c r="I18" s="87" t="s">
        <v>74</v>
      </c>
      <c r="J18" s="27" t="s">
        <v>132</v>
      </c>
      <c r="K18" s="28" t="s">
        <v>133</v>
      </c>
      <c r="L18" s="50">
        <v>90</v>
      </c>
      <c r="M18" s="52" t="s">
        <v>120</v>
      </c>
    </row>
    <row r="19" spans="1:13" s="2" customFormat="1" ht="20.100000000000001" customHeight="1">
      <c r="A19" s="76"/>
      <c r="B19" s="85"/>
      <c r="C19" s="43" t="s">
        <v>77</v>
      </c>
      <c r="D19" s="31" t="s">
        <v>78</v>
      </c>
      <c r="E19" s="53">
        <v>72</v>
      </c>
      <c r="F19" s="55" t="s">
        <v>127</v>
      </c>
      <c r="G19" s="101"/>
      <c r="H19" s="76"/>
      <c r="I19" s="79"/>
      <c r="J19" s="43" t="s">
        <v>75</v>
      </c>
      <c r="K19" s="31" t="s">
        <v>76</v>
      </c>
      <c r="L19" s="53">
        <v>78</v>
      </c>
      <c r="M19" s="55" t="s">
        <v>123</v>
      </c>
    </row>
    <row r="20" spans="1:13" s="2" customFormat="1" ht="20.100000000000001" customHeight="1">
      <c r="A20" s="76"/>
      <c r="B20" s="85"/>
      <c r="C20" s="43" t="s">
        <v>81</v>
      </c>
      <c r="D20" s="31" t="s">
        <v>82</v>
      </c>
      <c r="E20" s="53">
        <v>82</v>
      </c>
      <c r="F20" s="55" t="s">
        <v>120</v>
      </c>
      <c r="G20" s="101"/>
      <c r="H20" s="76"/>
      <c r="I20" s="79"/>
      <c r="J20" s="43" t="s">
        <v>79</v>
      </c>
      <c r="K20" s="31" t="s">
        <v>80</v>
      </c>
      <c r="L20" s="53">
        <v>79</v>
      </c>
      <c r="M20" s="55" t="s">
        <v>134</v>
      </c>
    </row>
    <row r="21" spans="1:13" s="2" customFormat="1" ht="20.100000000000001" customHeight="1">
      <c r="A21" s="76"/>
      <c r="B21" s="85"/>
      <c r="C21" s="43" t="s">
        <v>85</v>
      </c>
      <c r="D21" s="31" t="s">
        <v>86</v>
      </c>
      <c r="E21" s="53">
        <v>85</v>
      </c>
      <c r="F21" s="55" t="s">
        <v>120</v>
      </c>
      <c r="G21" s="101"/>
      <c r="H21" s="76"/>
      <c r="I21" s="79"/>
      <c r="J21" s="43" t="s">
        <v>83</v>
      </c>
      <c r="K21" s="31" t="s">
        <v>84</v>
      </c>
      <c r="L21" s="53">
        <v>82</v>
      </c>
      <c r="M21" s="55" t="s">
        <v>120</v>
      </c>
    </row>
    <row r="22" spans="1:13" s="2" customFormat="1" ht="20.100000000000001" customHeight="1">
      <c r="A22" s="76"/>
      <c r="B22" s="85"/>
      <c r="C22" s="43"/>
      <c r="D22" s="31"/>
      <c r="E22" s="53"/>
      <c r="F22" s="55"/>
      <c r="G22" s="101"/>
      <c r="H22" s="76"/>
      <c r="I22" s="79"/>
      <c r="J22" s="43" t="s">
        <v>87</v>
      </c>
      <c r="K22" s="31" t="s">
        <v>88</v>
      </c>
      <c r="L22" s="53">
        <v>85</v>
      </c>
      <c r="M22" s="55" t="s">
        <v>120</v>
      </c>
    </row>
    <row r="23" spans="1:13" s="2" customFormat="1" ht="20.100000000000001" customHeight="1" thickBot="1">
      <c r="A23" s="77"/>
      <c r="B23" s="86"/>
      <c r="C23" s="45"/>
      <c r="D23" s="34"/>
      <c r="E23" s="64"/>
      <c r="F23" s="65"/>
      <c r="G23" s="101"/>
      <c r="H23" s="77"/>
      <c r="I23" s="80"/>
      <c r="J23" s="45"/>
      <c r="K23" s="34"/>
      <c r="L23" s="64"/>
      <c r="M23" s="65"/>
    </row>
    <row r="24" spans="1:13" s="2" customFormat="1" ht="20.100000000000001" customHeight="1">
      <c r="A24" s="75">
        <v>4</v>
      </c>
      <c r="B24" s="78" t="s">
        <v>89</v>
      </c>
      <c r="C24" s="46" t="s">
        <v>90</v>
      </c>
      <c r="D24" s="37" t="s">
        <v>91</v>
      </c>
      <c r="E24" s="66">
        <v>81</v>
      </c>
      <c r="F24" s="67" t="s">
        <v>120</v>
      </c>
      <c r="G24" s="101"/>
      <c r="H24" s="75">
        <v>9</v>
      </c>
      <c r="I24" s="78" t="s">
        <v>14</v>
      </c>
      <c r="J24" s="46" t="s">
        <v>92</v>
      </c>
      <c r="K24" s="37" t="s">
        <v>93</v>
      </c>
      <c r="L24" s="66">
        <v>60</v>
      </c>
      <c r="M24" s="67" t="s">
        <v>135</v>
      </c>
    </row>
    <row r="25" spans="1:13" s="2" customFormat="1" ht="20.100000000000001" customHeight="1">
      <c r="A25" s="76"/>
      <c r="B25" s="79"/>
      <c r="C25" s="43" t="s">
        <v>94</v>
      </c>
      <c r="D25" s="31" t="s">
        <v>95</v>
      </c>
      <c r="E25" s="53">
        <v>80</v>
      </c>
      <c r="F25" s="55" t="s">
        <v>120</v>
      </c>
      <c r="G25" s="101"/>
      <c r="H25" s="76"/>
      <c r="I25" s="79"/>
      <c r="J25" s="43" t="s">
        <v>96</v>
      </c>
      <c r="K25" s="31" t="s">
        <v>97</v>
      </c>
      <c r="L25" s="53">
        <v>59</v>
      </c>
      <c r="M25" s="55" t="s">
        <v>136</v>
      </c>
    </row>
    <row r="26" spans="1:13" s="2" customFormat="1" ht="20.100000000000001" customHeight="1">
      <c r="A26" s="76"/>
      <c r="B26" s="79"/>
      <c r="C26" s="43" t="s">
        <v>98</v>
      </c>
      <c r="D26" s="31" t="s">
        <v>99</v>
      </c>
      <c r="E26" s="53">
        <v>76</v>
      </c>
      <c r="F26" s="55" t="s">
        <v>131</v>
      </c>
      <c r="G26" s="101"/>
      <c r="H26" s="76"/>
      <c r="I26" s="79"/>
      <c r="J26" s="43" t="s">
        <v>100</v>
      </c>
      <c r="K26" s="31" t="s">
        <v>101</v>
      </c>
      <c r="L26" s="53">
        <v>74</v>
      </c>
      <c r="M26" s="55" t="s">
        <v>137</v>
      </c>
    </row>
    <row r="27" spans="1:13" s="2" customFormat="1" ht="20.100000000000001" customHeight="1">
      <c r="A27" s="76"/>
      <c r="B27" s="79"/>
      <c r="C27" s="43" t="s">
        <v>102</v>
      </c>
      <c r="D27" s="31" t="s">
        <v>103</v>
      </c>
      <c r="E27" s="53">
        <v>86</v>
      </c>
      <c r="F27" s="55" t="s">
        <v>120</v>
      </c>
      <c r="G27" s="101"/>
      <c r="H27" s="76"/>
      <c r="I27" s="79"/>
      <c r="J27" s="43" t="s">
        <v>104</v>
      </c>
      <c r="K27" s="31" t="s">
        <v>105</v>
      </c>
      <c r="L27" s="53">
        <v>81</v>
      </c>
      <c r="M27" s="55" t="s">
        <v>120</v>
      </c>
    </row>
    <row r="28" spans="1:13" s="2" customFormat="1" ht="20.100000000000001" customHeight="1">
      <c r="A28" s="76"/>
      <c r="B28" s="79"/>
      <c r="C28" s="43" t="s">
        <v>138</v>
      </c>
      <c r="D28" s="31" t="s">
        <v>139</v>
      </c>
      <c r="E28" s="53">
        <v>77</v>
      </c>
      <c r="F28" s="55" t="s">
        <v>140</v>
      </c>
      <c r="G28" s="101"/>
      <c r="H28" s="76"/>
      <c r="I28" s="79"/>
      <c r="J28" s="43"/>
      <c r="K28" s="70"/>
      <c r="L28" s="71"/>
      <c r="M28" s="30"/>
    </row>
    <row r="29" spans="1:13" s="2" customFormat="1" ht="20.100000000000001" customHeight="1" thickBot="1">
      <c r="A29" s="77"/>
      <c r="B29" s="80"/>
      <c r="C29" s="45"/>
      <c r="D29" s="72"/>
      <c r="E29" s="64"/>
      <c r="F29" s="33"/>
      <c r="G29" s="102"/>
      <c r="H29" s="77"/>
      <c r="I29" s="80"/>
      <c r="J29" s="45"/>
      <c r="K29" s="72"/>
      <c r="L29" s="73"/>
      <c r="M29" s="33"/>
    </row>
    <row r="30" spans="1:13" ht="21">
      <c r="A30" s="75">
        <v>5</v>
      </c>
      <c r="B30" s="78" t="s">
        <v>106</v>
      </c>
      <c r="C30" s="46" t="s">
        <v>107</v>
      </c>
      <c r="D30" s="37" t="s">
        <v>108</v>
      </c>
      <c r="E30" s="66">
        <v>88</v>
      </c>
      <c r="F30" s="67" t="s">
        <v>120</v>
      </c>
      <c r="H30" s="75">
        <v>10</v>
      </c>
      <c r="I30" s="78"/>
      <c r="J30" s="46"/>
      <c r="K30" s="37"/>
      <c r="L30" s="66"/>
      <c r="M30" s="67"/>
    </row>
    <row r="31" spans="1:13" ht="21">
      <c r="A31" s="76"/>
      <c r="B31" s="79"/>
      <c r="C31" s="43" t="s">
        <v>109</v>
      </c>
      <c r="D31" s="31" t="s">
        <v>110</v>
      </c>
      <c r="E31" s="53">
        <v>88</v>
      </c>
      <c r="F31" s="55" t="s">
        <v>120</v>
      </c>
      <c r="H31" s="76"/>
      <c r="I31" s="79"/>
      <c r="J31" s="43"/>
      <c r="K31" s="31"/>
      <c r="L31" s="53"/>
      <c r="M31" s="55"/>
    </row>
    <row r="32" spans="1:13" ht="21">
      <c r="A32" s="76"/>
      <c r="B32" s="79"/>
      <c r="C32" s="43" t="s">
        <v>111</v>
      </c>
      <c r="D32" s="31" t="s">
        <v>112</v>
      </c>
      <c r="E32" s="53">
        <v>80</v>
      </c>
      <c r="F32" s="55" t="s">
        <v>120</v>
      </c>
      <c r="H32" s="76"/>
      <c r="I32" s="79"/>
      <c r="J32" s="43"/>
      <c r="K32" s="31"/>
      <c r="L32" s="53"/>
      <c r="M32" s="55"/>
    </row>
    <row r="33" spans="1:13" ht="21">
      <c r="A33" s="76"/>
      <c r="B33" s="79"/>
      <c r="C33" s="43" t="s">
        <v>141</v>
      </c>
      <c r="D33" s="31" t="s">
        <v>142</v>
      </c>
      <c r="E33" s="53">
        <v>65</v>
      </c>
      <c r="F33" s="55" t="s">
        <v>143</v>
      </c>
      <c r="H33" s="76"/>
      <c r="I33" s="79"/>
      <c r="J33" s="43"/>
      <c r="K33" s="31"/>
      <c r="L33" s="53"/>
      <c r="M33" s="55"/>
    </row>
    <row r="34" spans="1:13" ht="21">
      <c r="A34" s="76"/>
      <c r="B34" s="79"/>
      <c r="C34" s="43" t="s">
        <v>113</v>
      </c>
      <c r="D34" s="31" t="s">
        <v>114</v>
      </c>
      <c r="E34" s="53">
        <v>77</v>
      </c>
      <c r="F34" s="55" t="s">
        <v>140</v>
      </c>
      <c r="H34" s="76"/>
      <c r="I34" s="79"/>
      <c r="J34" s="43"/>
      <c r="K34" s="31"/>
      <c r="L34" s="53"/>
      <c r="M34" s="55"/>
    </row>
    <row r="35" spans="1:13" ht="21.75" thickBot="1">
      <c r="A35" s="77"/>
      <c r="B35" s="80"/>
      <c r="C35" s="45" t="s">
        <v>144</v>
      </c>
      <c r="D35" s="34" t="s">
        <v>145</v>
      </c>
      <c r="E35" s="64">
        <v>83</v>
      </c>
      <c r="F35" s="33" t="s">
        <v>120</v>
      </c>
      <c r="H35" s="77"/>
      <c r="I35" s="80"/>
      <c r="J35" s="45"/>
      <c r="K35" s="72"/>
      <c r="L35" s="64"/>
      <c r="M35" s="33"/>
    </row>
  </sheetData>
  <mergeCells count="35">
    <mergeCell ref="A6:A11"/>
    <mergeCell ref="B6:B11"/>
    <mergeCell ref="H6:H11"/>
    <mergeCell ref="I6:I11"/>
    <mergeCell ref="A1:M1"/>
    <mergeCell ref="A3:M3"/>
    <mergeCell ref="A4:A5"/>
    <mergeCell ref="B4:B5"/>
    <mergeCell ref="C4:C5"/>
    <mergeCell ref="D4:D5"/>
    <mergeCell ref="E4:E5"/>
    <mergeCell ref="F4:F5"/>
    <mergeCell ref="G4:G29"/>
    <mergeCell ref="H4:H5"/>
    <mergeCell ref="I4:I5"/>
    <mergeCell ref="J4:J5"/>
    <mergeCell ref="K4:K5"/>
    <mergeCell ref="L4:L5"/>
    <mergeCell ref="M4:M5"/>
    <mergeCell ref="A12:A17"/>
    <mergeCell ref="B12:B17"/>
    <mergeCell ref="H12:H17"/>
    <mergeCell ref="I12:I17"/>
    <mergeCell ref="A18:A23"/>
    <mergeCell ref="B18:B23"/>
    <mergeCell ref="H18:H23"/>
    <mergeCell ref="I18:I23"/>
    <mergeCell ref="A24:A29"/>
    <mergeCell ref="B24:B29"/>
    <mergeCell ref="H24:H29"/>
    <mergeCell ref="I24:I29"/>
    <mergeCell ref="A30:A35"/>
    <mergeCell ref="B30:B35"/>
    <mergeCell ref="H30:H35"/>
    <mergeCell ref="I30:I35"/>
  </mergeCells>
  <pageMargins left="0.31496062992125984" right="0.31496062992125984" top="0.15748031496062992" bottom="0.11811023622047245" header="0.31496062992125984" footer="0.31496062992125984"/>
  <pageSetup paperSize="9" scale="85" orientation="landscape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25"/>
  <sheetViews>
    <sheetView zoomScale="75" zoomScaleNormal="75" workbookViewId="0">
      <selection activeCell="E24" sqref="E24"/>
    </sheetView>
  </sheetViews>
  <sheetFormatPr defaultRowHeight="15"/>
  <cols>
    <col min="3" max="3" width="32.5703125" customWidth="1"/>
    <col min="4" max="4" width="8.42578125" customWidth="1"/>
    <col min="5" max="6" width="11.28515625" customWidth="1"/>
    <col min="7" max="7" width="3.85546875" customWidth="1"/>
    <col min="10" max="10" width="31.140625" customWidth="1"/>
    <col min="11" max="11" width="10.28515625" bestFit="1" customWidth="1"/>
    <col min="12" max="12" width="9.85546875" customWidth="1"/>
    <col min="13" max="13" width="11.85546875" bestFit="1" customWidth="1"/>
  </cols>
  <sheetData>
    <row r="1" spans="1:13" ht="19.5">
      <c r="A1" s="94" t="s">
        <v>115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</row>
    <row r="2" spans="1:13" ht="5.25" customHeight="1"/>
    <row r="3" spans="1:13" ht="15.75" customHeight="1" thickBot="1">
      <c r="A3" s="95" t="s">
        <v>30</v>
      </c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</row>
    <row r="4" spans="1:13" s="1" customFormat="1" ht="20.25" customHeight="1">
      <c r="A4" s="83" t="s">
        <v>31</v>
      </c>
      <c r="B4" s="88" t="s">
        <v>1</v>
      </c>
      <c r="C4" s="90" t="s">
        <v>32</v>
      </c>
      <c r="D4" s="90" t="s">
        <v>33</v>
      </c>
      <c r="E4" s="96" t="s">
        <v>6</v>
      </c>
      <c r="F4" s="98" t="s">
        <v>34</v>
      </c>
      <c r="G4" s="100"/>
      <c r="H4" s="83" t="s">
        <v>31</v>
      </c>
      <c r="I4" s="88" t="s">
        <v>1</v>
      </c>
      <c r="J4" s="90" t="s">
        <v>32</v>
      </c>
      <c r="K4" s="90" t="s">
        <v>33</v>
      </c>
      <c r="L4" s="90" t="s">
        <v>6</v>
      </c>
      <c r="M4" s="92" t="s">
        <v>34</v>
      </c>
    </row>
    <row r="5" spans="1:13" s="1" customFormat="1" ht="24" customHeight="1" thickBot="1">
      <c r="A5" s="81"/>
      <c r="B5" s="89"/>
      <c r="C5" s="91"/>
      <c r="D5" s="91"/>
      <c r="E5" s="97"/>
      <c r="F5" s="99"/>
      <c r="G5" s="101"/>
      <c r="H5" s="81"/>
      <c r="I5" s="89"/>
      <c r="J5" s="91"/>
      <c r="K5" s="91"/>
      <c r="L5" s="91"/>
      <c r="M5" s="93"/>
    </row>
    <row r="6" spans="1:13" s="2" customFormat="1" ht="20.100000000000001" customHeight="1">
      <c r="A6" s="83">
        <v>1</v>
      </c>
      <c r="B6" s="87" t="s">
        <v>35</v>
      </c>
      <c r="C6" s="27" t="s">
        <v>36</v>
      </c>
      <c r="D6" s="28" t="s">
        <v>37</v>
      </c>
      <c r="E6" s="29">
        <v>53.4</v>
      </c>
      <c r="F6" s="105">
        <f>AVERAGE(E6:E9)</f>
        <v>54.96</v>
      </c>
      <c r="G6" s="101"/>
      <c r="H6" s="83">
        <v>9</v>
      </c>
      <c r="I6" s="87" t="s">
        <v>38</v>
      </c>
      <c r="J6" s="27" t="s">
        <v>39</v>
      </c>
      <c r="K6" s="28" t="s">
        <v>40</v>
      </c>
      <c r="L6" s="29">
        <v>60.16</v>
      </c>
      <c r="M6" s="105">
        <f>AVERAGE(L6:L9)</f>
        <v>58.247499999999995</v>
      </c>
    </row>
    <row r="7" spans="1:13" s="2" customFormat="1" ht="20.100000000000001" customHeight="1">
      <c r="A7" s="76"/>
      <c r="B7" s="79"/>
      <c r="C7" s="30" t="s">
        <v>41</v>
      </c>
      <c r="D7" s="31" t="s">
        <v>42</v>
      </c>
      <c r="E7" s="32">
        <v>54.66</v>
      </c>
      <c r="F7" s="103"/>
      <c r="G7" s="101"/>
      <c r="H7" s="76"/>
      <c r="I7" s="79"/>
      <c r="J7" s="30" t="s">
        <v>43</v>
      </c>
      <c r="K7" s="31" t="s">
        <v>44</v>
      </c>
      <c r="L7" s="32">
        <v>57.48</v>
      </c>
      <c r="M7" s="103"/>
    </row>
    <row r="8" spans="1:13" s="2" customFormat="1" ht="20.100000000000001" customHeight="1">
      <c r="A8" s="76"/>
      <c r="B8" s="79"/>
      <c r="C8" s="30" t="s">
        <v>45</v>
      </c>
      <c r="D8" s="31" t="s">
        <v>46</v>
      </c>
      <c r="E8" s="32">
        <v>55.21</v>
      </c>
      <c r="F8" s="103"/>
      <c r="G8" s="101"/>
      <c r="H8" s="76"/>
      <c r="I8" s="79"/>
      <c r="J8" s="30" t="s">
        <v>47</v>
      </c>
      <c r="K8" s="31" t="s">
        <v>48</v>
      </c>
      <c r="L8" s="32">
        <v>58.64</v>
      </c>
      <c r="M8" s="103"/>
    </row>
    <row r="9" spans="1:13" s="2" customFormat="1" ht="20.100000000000001" customHeight="1" thickBot="1">
      <c r="A9" s="77"/>
      <c r="B9" s="80"/>
      <c r="C9" s="33" t="s">
        <v>49</v>
      </c>
      <c r="D9" s="34" t="s">
        <v>50</v>
      </c>
      <c r="E9" s="35">
        <v>56.57</v>
      </c>
      <c r="F9" s="104"/>
      <c r="G9" s="101"/>
      <c r="H9" s="77"/>
      <c r="I9" s="80"/>
      <c r="J9" s="33" t="s">
        <v>51</v>
      </c>
      <c r="K9" s="34" t="s">
        <v>52</v>
      </c>
      <c r="L9" s="35">
        <v>56.71</v>
      </c>
      <c r="M9" s="104"/>
    </row>
    <row r="10" spans="1:13" s="2" customFormat="1" ht="20.100000000000001" customHeight="1">
      <c r="A10" s="75">
        <v>7</v>
      </c>
      <c r="B10" s="78" t="s">
        <v>53</v>
      </c>
      <c r="C10" s="36" t="s">
        <v>54</v>
      </c>
      <c r="D10" s="37" t="s">
        <v>55</v>
      </c>
      <c r="E10" s="38">
        <v>56.3</v>
      </c>
      <c r="F10" s="103">
        <f>AVERAGE(E10:E13)</f>
        <v>56.365000000000002</v>
      </c>
      <c r="G10" s="101"/>
      <c r="H10" s="75">
        <v>5</v>
      </c>
      <c r="I10" s="78" t="s">
        <v>56</v>
      </c>
      <c r="J10" s="36" t="s">
        <v>57</v>
      </c>
      <c r="K10" s="37" t="s">
        <v>58</v>
      </c>
      <c r="L10" s="38">
        <v>54.88</v>
      </c>
      <c r="M10" s="103">
        <f>AVERAGE(L10:L13)</f>
        <v>56.127499999999998</v>
      </c>
    </row>
    <row r="11" spans="1:13" s="2" customFormat="1" ht="20.100000000000001" customHeight="1">
      <c r="A11" s="76"/>
      <c r="B11" s="79"/>
      <c r="C11" s="30" t="s">
        <v>59</v>
      </c>
      <c r="D11" s="31" t="s">
        <v>60</v>
      </c>
      <c r="E11" s="32">
        <v>54.41</v>
      </c>
      <c r="F11" s="103"/>
      <c r="G11" s="101"/>
      <c r="H11" s="76"/>
      <c r="I11" s="79"/>
      <c r="J11" s="30" t="s">
        <v>61</v>
      </c>
      <c r="K11" s="31" t="s">
        <v>62</v>
      </c>
      <c r="L11" s="32">
        <v>57.54</v>
      </c>
      <c r="M11" s="103"/>
    </row>
    <row r="12" spans="1:13" s="2" customFormat="1" ht="20.100000000000001" customHeight="1">
      <c r="A12" s="76"/>
      <c r="B12" s="79"/>
      <c r="C12" s="30" t="s">
        <v>63</v>
      </c>
      <c r="D12" s="31" t="s">
        <v>64</v>
      </c>
      <c r="E12" s="32">
        <v>58.04</v>
      </c>
      <c r="F12" s="103"/>
      <c r="G12" s="101"/>
      <c r="H12" s="76"/>
      <c r="I12" s="79"/>
      <c r="J12" s="30" t="s">
        <v>65</v>
      </c>
      <c r="K12" s="31" t="s">
        <v>66</v>
      </c>
      <c r="L12" s="32">
        <v>56.53</v>
      </c>
      <c r="M12" s="103"/>
    </row>
    <row r="13" spans="1:13" s="2" customFormat="1" ht="20.100000000000001" customHeight="1" thickBot="1">
      <c r="A13" s="76"/>
      <c r="B13" s="79"/>
      <c r="C13" s="30" t="s">
        <v>67</v>
      </c>
      <c r="D13" s="31" t="s">
        <v>68</v>
      </c>
      <c r="E13" s="32">
        <v>56.71</v>
      </c>
      <c r="F13" s="103"/>
      <c r="G13" s="101"/>
      <c r="H13" s="81"/>
      <c r="I13" s="82"/>
      <c r="J13" s="39" t="s">
        <v>69</v>
      </c>
      <c r="K13" s="40" t="s">
        <v>70</v>
      </c>
      <c r="L13" s="41">
        <v>55.56</v>
      </c>
      <c r="M13" s="103"/>
    </row>
    <row r="14" spans="1:13" s="2" customFormat="1" ht="20.100000000000001" customHeight="1">
      <c r="A14" s="83">
        <v>4</v>
      </c>
      <c r="B14" s="84" t="s">
        <v>71</v>
      </c>
      <c r="C14" s="27" t="s">
        <v>72</v>
      </c>
      <c r="D14" s="28" t="s">
        <v>73</v>
      </c>
      <c r="E14" s="29">
        <v>56.99</v>
      </c>
      <c r="F14" s="105">
        <f>AVERAGE(E14:E17)</f>
        <v>55.884999999999998</v>
      </c>
      <c r="G14" s="101"/>
      <c r="H14" s="83">
        <v>6</v>
      </c>
      <c r="I14" s="87" t="s">
        <v>74</v>
      </c>
      <c r="J14" s="42" t="s">
        <v>75</v>
      </c>
      <c r="K14" s="28" t="s">
        <v>76</v>
      </c>
      <c r="L14" s="29">
        <v>55.11</v>
      </c>
      <c r="M14" s="105">
        <f>AVERAGE(L14:L17)</f>
        <v>56.2425</v>
      </c>
    </row>
    <row r="15" spans="1:13" s="2" customFormat="1" ht="20.100000000000001" customHeight="1">
      <c r="A15" s="76"/>
      <c r="B15" s="85"/>
      <c r="C15" s="43" t="s">
        <v>77</v>
      </c>
      <c r="D15" s="31" t="s">
        <v>78</v>
      </c>
      <c r="E15" s="32">
        <v>56.68</v>
      </c>
      <c r="F15" s="103"/>
      <c r="G15" s="101"/>
      <c r="H15" s="76"/>
      <c r="I15" s="79"/>
      <c r="J15" s="43" t="s">
        <v>79</v>
      </c>
      <c r="K15" s="31" t="s">
        <v>80</v>
      </c>
      <c r="L15" s="32">
        <v>58.57</v>
      </c>
      <c r="M15" s="103"/>
    </row>
    <row r="16" spans="1:13" s="2" customFormat="1" ht="20.100000000000001" customHeight="1">
      <c r="A16" s="76"/>
      <c r="B16" s="85"/>
      <c r="C16" s="43" t="s">
        <v>81</v>
      </c>
      <c r="D16" s="31" t="s">
        <v>82</v>
      </c>
      <c r="E16" s="32">
        <v>55.86</v>
      </c>
      <c r="F16" s="103"/>
      <c r="G16" s="101"/>
      <c r="H16" s="76"/>
      <c r="I16" s="79"/>
      <c r="J16" s="43" t="s">
        <v>83</v>
      </c>
      <c r="K16" s="31" t="s">
        <v>84</v>
      </c>
      <c r="L16" s="32">
        <v>55.73</v>
      </c>
      <c r="M16" s="103"/>
    </row>
    <row r="17" spans="1:13" s="2" customFormat="1" ht="20.100000000000001" customHeight="1" thickBot="1">
      <c r="A17" s="81"/>
      <c r="B17" s="85"/>
      <c r="C17" s="44" t="s">
        <v>85</v>
      </c>
      <c r="D17" s="40" t="s">
        <v>86</v>
      </c>
      <c r="E17" s="41">
        <v>54.01</v>
      </c>
      <c r="F17" s="103"/>
      <c r="G17" s="101"/>
      <c r="H17" s="81"/>
      <c r="I17" s="82"/>
      <c r="J17" s="44" t="s">
        <v>87</v>
      </c>
      <c r="K17" s="40" t="s">
        <v>88</v>
      </c>
      <c r="L17" s="41">
        <v>55.56</v>
      </c>
      <c r="M17" s="103"/>
    </row>
    <row r="18" spans="1:13" s="2" customFormat="1" ht="20.100000000000001" customHeight="1">
      <c r="A18" s="83">
        <v>2</v>
      </c>
      <c r="B18" s="87" t="s">
        <v>89</v>
      </c>
      <c r="C18" s="42" t="s">
        <v>90</v>
      </c>
      <c r="D18" s="28" t="s">
        <v>91</v>
      </c>
      <c r="E18" s="29">
        <v>53.63</v>
      </c>
      <c r="F18" s="105">
        <f>AVERAGE(E18:E21)</f>
        <v>55.164999999999992</v>
      </c>
      <c r="G18" s="101"/>
      <c r="H18" s="83">
        <v>3</v>
      </c>
      <c r="I18" s="87" t="s">
        <v>14</v>
      </c>
      <c r="J18" s="42" t="s">
        <v>92</v>
      </c>
      <c r="K18" s="28" t="s">
        <v>93</v>
      </c>
      <c r="L18" s="29">
        <v>55.16</v>
      </c>
      <c r="M18" s="105">
        <f>AVERAGE(L18:L21)</f>
        <v>55.292499999999997</v>
      </c>
    </row>
    <row r="19" spans="1:13" s="2" customFormat="1" ht="20.100000000000001" customHeight="1">
      <c r="A19" s="76"/>
      <c r="B19" s="79"/>
      <c r="C19" s="43" t="s">
        <v>94</v>
      </c>
      <c r="D19" s="31" t="s">
        <v>95</v>
      </c>
      <c r="E19" s="32">
        <v>54.66</v>
      </c>
      <c r="F19" s="103"/>
      <c r="G19" s="101"/>
      <c r="H19" s="76"/>
      <c r="I19" s="79"/>
      <c r="J19" s="43" t="s">
        <v>96</v>
      </c>
      <c r="K19" s="31" t="s">
        <v>97</v>
      </c>
      <c r="L19" s="32">
        <v>55.12</v>
      </c>
      <c r="M19" s="103"/>
    </row>
    <row r="20" spans="1:13" s="2" customFormat="1" ht="20.100000000000001" customHeight="1">
      <c r="A20" s="76"/>
      <c r="B20" s="79"/>
      <c r="C20" s="43" t="s">
        <v>98</v>
      </c>
      <c r="D20" s="31" t="s">
        <v>99</v>
      </c>
      <c r="E20" s="32">
        <v>56.36</v>
      </c>
      <c r="F20" s="103"/>
      <c r="G20" s="101"/>
      <c r="H20" s="76"/>
      <c r="I20" s="79"/>
      <c r="J20" s="43" t="s">
        <v>100</v>
      </c>
      <c r="K20" s="31" t="s">
        <v>101</v>
      </c>
      <c r="L20" s="32">
        <v>55.76</v>
      </c>
      <c r="M20" s="103"/>
    </row>
    <row r="21" spans="1:13" s="2" customFormat="1" ht="20.100000000000001" customHeight="1" thickBot="1">
      <c r="A21" s="77"/>
      <c r="B21" s="80"/>
      <c r="C21" s="45" t="s">
        <v>102</v>
      </c>
      <c r="D21" s="34" t="s">
        <v>103</v>
      </c>
      <c r="E21" s="35">
        <v>56.01</v>
      </c>
      <c r="F21" s="104"/>
      <c r="G21" s="101"/>
      <c r="H21" s="77"/>
      <c r="I21" s="80"/>
      <c r="J21" s="45" t="s">
        <v>104</v>
      </c>
      <c r="K21" s="34" t="s">
        <v>105</v>
      </c>
      <c r="L21" s="35">
        <v>55.13</v>
      </c>
      <c r="M21" s="104"/>
    </row>
    <row r="22" spans="1:13" ht="21">
      <c r="A22" s="75">
        <v>8</v>
      </c>
      <c r="B22" s="78" t="s">
        <v>106</v>
      </c>
      <c r="C22" s="46" t="s">
        <v>107</v>
      </c>
      <c r="D22" s="37" t="s">
        <v>108</v>
      </c>
      <c r="E22" s="38">
        <v>56.62</v>
      </c>
      <c r="F22" s="103">
        <f>AVERAGE(E22:E25)</f>
        <v>56.814999999999998</v>
      </c>
      <c r="H22" s="75"/>
      <c r="I22" s="78"/>
      <c r="J22" s="46"/>
      <c r="K22" s="37"/>
      <c r="L22" s="38"/>
      <c r="M22" s="47"/>
    </row>
    <row r="23" spans="1:13" ht="21">
      <c r="A23" s="76"/>
      <c r="B23" s="79"/>
      <c r="C23" s="43" t="s">
        <v>109</v>
      </c>
      <c r="D23" s="31" t="s">
        <v>110</v>
      </c>
      <c r="E23" s="32">
        <v>55.21</v>
      </c>
      <c r="F23" s="103"/>
      <c r="H23" s="76"/>
      <c r="I23" s="79"/>
      <c r="J23" s="43"/>
      <c r="K23" s="31"/>
      <c r="L23" s="32"/>
      <c r="M23" s="48"/>
    </row>
    <row r="24" spans="1:13" ht="21">
      <c r="A24" s="76"/>
      <c r="B24" s="79"/>
      <c r="C24" s="43" t="s">
        <v>111</v>
      </c>
      <c r="D24" s="31" t="s">
        <v>112</v>
      </c>
      <c r="E24" s="32">
        <v>58.55</v>
      </c>
      <c r="F24" s="103"/>
      <c r="H24" s="76"/>
      <c r="I24" s="79"/>
      <c r="J24" s="43"/>
      <c r="K24" s="31"/>
      <c r="L24" s="32"/>
      <c r="M24" s="48"/>
    </row>
    <row r="25" spans="1:13" ht="21.75" thickBot="1">
      <c r="A25" s="77"/>
      <c r="B25" s="80"/>
      <c r="C25" s="45" t="s">
        <v>113</v>
      </c>
      <c r="D25" s="34" t="s">
        <v>114</v>
      </c>
      <c r="E25" s="35">
        <v>56.88</v>
      </c>
      <c r="F25" s="104"/>
      <c r="H25" s="77"/>
      <c r="I25" s="80"/>
      <c r="J25" s="45"/>
      <c r="K25" s="34"/>
      <c r="L25" s="35"/>
      <c r="M25" s="49"/>
    </row>
  </sheetData>
  <mergeCells count="44">
    <mergeCell ref="A1:M1"/>
    <mergeCell ref="A3:M3"/>
    <mergeCell ref="A4:A5"/>
    <mergeCell ref="B4:B5"/>
    <mergeCell ref="C4:C5"/>
    <mergeCell ref="D4:D5"/>
    <mergeCell ref="E4:E5"/>
    <mergeCell ref="F4:F5"/>
    <mergeCell ref="G4:G21"/>
    <mergeCell ref="H4:H5"/>
    <mergeCell ref="I4:I5"/>
    <mergeCell ref="J4:J5"/>
    <mergeCell ref="K4:K5"/>
    <mergeCell ref="L4:L5"/>
    <mergeCell ref="M4:M5"/>
    <mergeCell ref="M6:M9"/>
    <mergeCell ref="A10:A13"/>
    <mergeCell ref="B10:B13"/>
    <mergeCell ref="F10:F13"/>
    <mergeCell ref="H10:H13"/>
    <mergeCell ref="I10:I13"/>
    <mergeCell ref="M10:M13"/>
    <mergeCell ref="A6:A9"/>
    <mergeCell ref="B6:B9"/>
    <mergeCell ref="F6:F9"/>
    <mergeCell ref="H6:H9"/>
    <mergeCell ref="I6:I9"/>
    <mergeCell ref="M18:M21"/>
    <mergeCell ref="A14:A17"/>
    <mergeCell ref="B14:B17"/>
    <mergeCell ref="F14:F17"/>
    <mergeCell ref="H14:H17"/>
    <mergeCell ref="I14:I17"/>
    <mergeCell ref="M14:M17"/>
    <mergeCell ref="A18:A21"/>
    <mergeCell ref="B18:B21"/>
    <mergeCell ref="F18:F21"/>
    <mergeCell ref="H18:H21"/>
    <mergeCell ref="I18:I21"/>
    <mergeCell ref="A22:A25"/>
    <mergeCell ref="B22:B25"/>
    <mergeCell ref="F22:F25"/>
    <mergeCell ref="H22:H25"/>
    <mergeCell ref="I22:I25"/>
  </mergeCells>
  <pageMargins left="0.31496062992125984" right="0.31496062992125984" top="0.15748031496062992" bottom="0.11811023622047245" header="0.31496062992125984" footer="0.31496062992125984"/>
  <pageSetup paperSize="9" scale="85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3"/>
  <sheetViews>
    <sheetView workbookViewId="0">
      <selection activeCell="E17" sqref="E17"/>
    </sheetView>
  </sheetViews>
  <sheetFormatPr defaultRowHeight="15"/>
  <cols>
    <col min="1" max="1" width="9.140625" style="1"/>
    <col min="2" max="2" width="19.5703125" style="1" customWidth="1"/>
    <col min="3" max="3" width="7.140625" style="1" customWidth="1"/>
    <col min="4" max="4" width="11.5703125" style="1" customWidth="1"/>
    <col min="5" max="5" width="7" style="1" customWidth="1"/>
    <col min="6" max="6" width="10.42578125" style="1" customWidth="1"/>
    <col min="7" max="7" width="16.7109375" style="1" customWidth="1"/>
    <col min="8" max="8" width="11.140625" style="1" customWidth="1"/>
    <col min="9" max="9" width="9" style="1" customWidth="1"/>
  </cols>
  <sheetData>
    <row r="1" spans="1:9" ht="19.5">
      <c r="A1" s="106" t="s">
        <v>13</v>
      </c>
      <c r="B1" s="106"/>
      <c r="C1" s="106"/>
      <c r="D1" s="106"/>
      <c r="E1" s="106"/>
      <c r="F1" s="106"/>
      <c r="G1" s="106"/>
      <c r="H1" s="106"/>
      <c r="I1" s="106"/>
    </row>
    <row r="2" spans="1:9" ht="15.75" thickBot="1"/>
    <row r="3" spans="1:9" s="2" customFormat="1">
      <c r="A3" s="107" t="s">
        <v>0</v>
      </c>
      <c r="B3" s="109" t="s">
        <v>1</v>
      </c>
      <c r="C3" s="111" t="s">
        <v>2</v>
      </c>
      <c r="D3" s="107" t="s">
        <v>3</v>
      </c>
      <c r="E3" s="92"/>
      <c r="F3" s="113" t="s">
        <v>4</v>
      </c>
      <c r="G3" s="109"/>
      <c r="H3" s="107" t="s">
        <v>5</v>
      </c>
      <c r="I3" s="92"/>
    </row>
    <row r="4" spans="1:9" s="7" customFormat="1" ht="15.75" thickBot="1">
      <c r="A4" s="108"/>
      <c r="B4" s="110"/>
      <c r="C4" s="112"/>
      <c r="D4" s="3" t="s">
        <v>6</v>
      </c>
      <c r="E4" s="4" t="s">
        <v>0</v>
      </c>
      <c r="F4" s="5" t="s">
        <v>7</v>
      </c>
      <c r="G4" s="6" t="s">
        <v>8</v>
      </c>
      <c r="H4" s="3" t="s">
        <v>6</v>
      </c>
      <c r="I4" s="4" t="s">
        <v>9</v>
      </c>
    </row>
    <row r="5" spans="1:9" s="2" customFormat="1" ht="24.95" customHeight="1">
      <c r="A5" s="8">
        <v>1</v>
      </c>
      <c r="B5" s="9" t="s">
        <v>14</v>
      </c>
      <c r="C5" s="10">
        <v>9</v>
      </c>
      <c r="D5" s="74">
        <v>55.29</v>
      </c>
      <c r="E5" s="10">
        <v>3</v>
      </c>
      <c r="F5" s="11">
        <v>875</v>
      </c>
      <c r="G5" s="12" t="s">
        <v>28</v>
      </c>
      <c r="H5" s="8">
        <v>47.59</v>
      </c>
      <c r="I5" s="10">
        <v>762</v>
      </c>
    </row>
    <row r="6" spans="1:9" s="2" customFormat="1" ht="24.95" customHeight="1">
      <c r="A6" s="13">
        <v>2</v>
      </c>
      <c r="B6" s="14" t="s">
        <v>16</v>
      </c>
      <c r="C6" s="15">
        <v>1</v>
      </c>
      <c r="D6" s="13">
        <v>54.96</v>
      </c>
      <c r="E6" s="15">
        <v>1</v>
      </c>
      <c r="F6" s="16">
        <v>874</v>
      </c>
      <c r="G6" s="17" t="s">
        <v>10</v>
      </c>
      <c r="H6" s="23">
        <v>48.26</v>
      </c>
      <c r="I6" s="15">
        <v>814</v>
      </c>
    </row>
    <row r="7" spans="1:9" s="2" customFormat="1" ht="24.95" customHeight="1">
      <c r="A7" s="13">
        <v>3</v>
      </c>
      <c r="B7" s="14" t="s">
        <v>15</v>
      </c>
      <c r="C7" s="15">
        <v>4</v>
      </c>
      <c r="D7" s="13">
        <v>55.17</v>
      </c>
      <c r="E7" s="15">
        <v>2</v>
      </c>
      <c r="F7" s="16">
        <v>872</v>
      </c>
      <c r="G7" s="17" t="s">
        <v>11</v>
      </c>
      <c r="H7" s="24">
        <v>48.1</v>
      </c>
      <c r="I7" s="15">
        <v>345</v>
      </c>
    </row>
    <row r="8" spans="1:9" s="2" customFormat="1" ht="24.95" customHeight="1">
      <c r="A8" s="13">
        <v>4</v>
      </c>
      <c r="B8" s="14" t="s">
        <v>17</v>
      </c>
      <c r="C8" s="15">
        <v>7</v>
      </c>
      <c r="D8" s="13">
        <v>56.13</v>
      </c>
      <c r="E8" s="15">
        <v>5</v>
      </c>
      <c r="F8" s="16">
        <v>869</v>
      </c>
      <c r="G8" s="17" t="s">
        <v>12</v>
      </c>
      <c r="H8" s="24">
        <v>48.2</v>
      </c>
      <c r="I8" s="15">
        <v>300</v>
      </c>
    </row>
    <row r="9" spans="1:9" s="2" customFormat="1" ht="24.95" customHeight="1">
      <c r="A9" s="13">
        <v>5</v>
      </c>
      <c r="B9" s="14" t="s">
        <v>18</v>
      </c>
      <c r="C9" s="15">
        <v>3</v>
      </c>
      <c r="D9" s="13">
        <v>55.89</v>
      </c>
      <c r="E9" s="15">
        <v>4</v>
      </c>
      <c r="F9" s="16">
        <v>867</v>
      </c>
      <c r="G9" s="17" t="s">
        <v>23</v>
      </c>
      <c r="H9" s="13">
        <v>47.53</v>
      </c>
      <c r="I9" s="15">
        <v>836</v>
      </c>
    </row>
    <row r="10" spans="1:9" s="2" customFormat="1" ht="24.95" customHeight="1">
      <c r="A10" s="13">
        <v>6</v>
      </c>
      <c r="B10" s="14" t="s">
        <v>19</v>
      </c>
      <c r="C10" s="15">
        <v>8</v>
      </c>
      <c r="D10" s="13">
        <v>56.24</v>
      </c>
      <c r="E10" s="15">
        <v>6</v>
      </c>
      <c r="F10" s="16">
        <f>847+1</f>
        <v>848</v>
      </c>
      <c r="G10" s="17" t="s">
        <v>27</v>
      </c>
      <c r="H10" s="13">
        <v>49.19</v>
      </c>
      <c r="I10" s="15">
        <v>729</v>
      </c>
    </row>
    <row r="11" spans="1:9" s="2" customFormat="1" ht="24.95" customHeight="1">
      <c r="A11" s="13">
        <v>7</v>
      </c>
      <c r="B11" s="14" t="s">
        <v>20</v>
      </c>
      <c r="C11" s="15">
        <v>2</v>
      </c>
      <c r="D11" s="13">
        <v>56.37</v>
      </c>
      <c r="E11" s="15">
        <v>7</v>
      </c>
      <c r="F11" s="16">
        <f>843</f>
        <v>843</v>
      </c>
      <c r="G11" s="17" t="s">
        <v>24</v>
      </c>
      <c r="H11" s="13">
        <v>47.65</v>
      </c>
      <c r="I11" s="15">
        <v>549</v>
      </c>
    </row>
    <row r="12" spans="1:9" s="2" customFormat="1" ht="24.95" customHeight="1">
      <c r="A12" s="13">
        <v>8</v>
      </c>
      <c r="B12" s="18" t="s">
        <v>21</v>
      </c>
      <c r="C12" s="19">
        <v>6</v>
      </c>
      <c r="D12" s="20">
        <v>58.25</v>
      </c>
      <c r="E12" s="19">
        <v>9</v>
      </c>
      <c r="F12" s="21">
        <f>823+4</f>
        <v>827</v>
      </c>
      <c r="G12" s="17" t="s">
        <v>26</v>
      </c>
      <c r="H12" s="20">
        <v>48.82</v>
      </c>
      <c r="I12" s="19">
        <v>695</v>
      </c>
    </row>
    <row r="13" spans="1:9" s="2" customFormat="1" ht="24.95" customHeight="1" thickBot="1">
      <c r="A13" s="3">
        <v>9</v>
      </c>
      <c r="B13" s="22" t="s">
        <v>22</v>
      </c>
      <c r="C13" s="4">
        <v>5</v>
      </c>
      <c r="D13" s="3">
        <v>56.82</v>
      </c>
      <c r="E13" s="4">
        <v>8</v>
      </c>
      <c r="F13" s="5">
        <v>818</v>
      </c>
      <c r="G13" s="4" t="s">
        <v>25</v>
      </c>
      <c r="H13" s="3">
        <v>49.84</v>
      </c>
      <c r="I13" s="4">
        <v>809</v>
      </c>
    </row>
  </sheetData>
  <mergeCells count="7">
    <mergeCell ref="A1:I1"/>
    <mergeCell ref="A3:A4"/>
    <mergeCell ref="B3:B4"/>
    <mergeCell ref="C3:C4"/>
    <mergeCell ref="D3:E3"/>
    <mergeCell ref="F3:G3"/>
    <mergeCell ref="H3:I3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32"/>
  <sheetViews>
    <sheetView topLeftCell="A13" zoomScale="75" zoomScaleNormal="75" workbookViewId="0">
      <selection activeCell="F29" sqref="F29"/>
    </sheetView>
  </sheetViews>
  <sheetFormatPr defaultRowHeight="15"/>
  <cols>
    <col min="1" max="1" width="10.5703125" customWidth="1"/>
    <col min="2" max="2" width="7.28515625" customWidth="1"/>
    <col min="3" max="3" width="23.5703125" bestFit="1" customWidth="1"/>
    <col min="4" max="5" width="8.85546875" style="1" customWidth="1"/>
    <col min="6" max="6" width="17.42578125" style="1" customWidth="1"/>
    <col min="7" max="7" width="9.42578125" style="1" customWidth="1"/>
    <col min="8" max="8" width="18.5703125" style="1" customWidth="1"/>
    <col min="9" max="9" width="12.85546875" style="1" customWidth="1"/>
    <col min="10" max="10" width="17.5703125" style="1" customWidth="1"/>
  </cols>
  <sheetData>
    <row r="1" spans="1:11" ht="19.5">
      <c r="A1" s="94" t="s">
        <v>146</v>
      </c>
      <c r="B1" s="94"/>
      <c r="C1" s="94"/>
      <c r="D1" s="94"/>
      <c r="E1" s="94"/>
      <c r="F1" s="94"/>
      <c r="G1" s="94"/>
      <c r="H1" s="94"/>
      <c r="I1" s="94"/>
      <c r="J1" s="94"/>
    </row>
    <row r="2" spans="1:11" ht="10.5" customHeight="1"/>
    <row r="3" spans="1:11" ht="15.75" customHeight="1" thickBot="1">
      <c r="A3" s="95" t="s">
        <v>147</v>
      </c>
      <c r="B3" s="95"/>
      <c r="C3" s="95"/>
      <c r="D3" s="95"/>
      <c r="E3" s="95"/>
      <c r="F3" s="95"/>
      <c r="G3" s="95"/>
      <c r="H3" s="95"/>
      <c r="I3" s="95"/>
      <c r="J3" s="95"/>
    </row>
    <row r="4" spans="1:11" s="1" customFormat="1" ht="25.5" customHeight="1">
      <c r="A4" s="114" t="s">
        <v>148</v>
      </c>
      <c r="B4" s="115" t="s">
        <v>149</v>
      </c>
      <c r="C4" s="115" t="s">
        <v>32</v>
      </c>
      <c r="D4" s="116" t="s">
        <v>150</v>
      </c>
      <c r="E4" s="117" t="s">
        <v>151</v>
      </c>
      <c r="F4" s="118" t="s">
        <v>152</v>
      </c>
      <c r="G4" s="115" t="s">
        <v>153</v>
      </c>
      <c r="H4" s="115" t="s">
        <v>154</v>
      </c>
      <c r="I4" s="96" t="s">
        <v>155</v>
      </c>
      <c r="J4" s="119"/>
    </row>
    <row r="5" spans="1:11" s="1" customFormat="1" ht="22.5" customHeight="1" thickBot="1">
      <c r="A5" s="120"/>
      <c r="B5" s="121"/>
      <c r="C5" s="121"/>
      <c r="D5" s="122"/>
      <c r="E5" s="123"/>
      <c r="F5" s="124"/>
      <c r="G5" s="121"/>
      <c r="H5" s="121"/>
      <c r="I5" s="125" t="s">
        <v>156</v>
      </c>
      <c r="J5" s="125" t="s">
        <v>157</v>
      </c>
      <c r="K5" s="126" t="s">
        <v>158</v>
      </c>
    </row>
    <row r="6" spans="1:11" s="2" customFormat="1" ht="30" customHeight="1">
      <c r="A6" s="127" t="s">
        <v>14</v>
      </c>
      <c r="B6" s="128">
        <v>1</v>
      </c>
      <c r="C6" s="129" t="s">
        <v>100</v>
      </c>
      <c r="D6" s="129">
        <v>88</v>
      </c>
      <c r="E6" s="129">
        <v>51.05</v>
      </c>
      <c r="F6" s="130">
        <f>(56.56+54.22+54.68+57.2+54.32+54.65+53.35+54.08+53.93+52.86+52.7+52.73+52.62+52.09+52.26+53.35+51.94+52.03+51.82+51.73+51.24+51.29+51.22+53.21+51.19+51.05+51.59)/27</f>
        <v>52.959629629629632</v>
      </c>
      <c r="G6" s="129">
        <v>27</v>
      </c>
      <c r="H6" s="131">
        <v>1.6620370370370372E-2</v>
      </c>
      <c r="I6" s="131">
        <f>H6</f>
        <v>1.6620370370370372E-2</v>
      </c>
      <c r="J6" s="132">
        <f>I6</f>
        <v>1.6620370370370372E-2</v>
      </c>
      <c r="K6" s="133">
        <f>F6-E6</f>
        <v>1.9096296296296345</v>
      </c>
    </row>
    <row r="7" spans="1:11" s="2" customFormat="1" ht="30" customHeight="1">
      <c r="A7" s="134"/>
      <c r="B7" s="135">
        <v>2</v>
      </c>
      <c r="C7" s="135" t="s">
        <v>96</v>
      </c>
      <c r="D7" s="129">
        <v>3</v>
      </c>
      <c r="E7" s="129">
        <v>53.27</v>
      </c>
      <c r="F7" s="130">
        <f>(54.17+53.91+54.07+55.54+54.4+53.8+53.27+54.4+53.31+53.71+54.08+54.08+54.37+54.17+53.66+54.61+53.51+53.68+53.33+53.74+53.67+54.79)/22</f>
        <v>54.012272727272723</v>
      </c>
      <c r="G7" s="129">
        <v>50</v>
      </c>
      <c r="H7" s="131">
        <v>3.1736111111111111E-2</v>
      </c>
      <c r="I7" s="131">
        <f t="shared" ref="I7:I31" si="0">H7-H6</f>
        <v>1.5115740740740739E-2</v>
      </c>
      <c r="J7" s="132">
        <f>I7</f>
        <v>1.5115740740740739E-2</v>
      </c>
      <c r="K7" s="133">
        <f t="shared" ref="K7:K31" si="1">F7-E7</f>
        <v>0.74227272727272009</v>
      </c>
    </row>
    <row r="8" spans="1:11" s="2" customFormat="1" ht="30" customHeight="1">
      <c r="A8" s="134"/>
      <c r="B8" s="135">
        <v>3</v>
      </c>
      <c r="C8" s="129" t="s">
        <v>104</v>
      </c>
      <c r="D8" s="129">
        <v>1</v>
      </c>
      <c r="E8" s="129">
        <v>50.82</v>
      </c>
      <c r="F8" s="130">
        <f>(53+52.5+52.46+52.19+52.14+52.22+51.84+51.65+52.29+51.31+51.28+51.96+52.69+52.37+52.48+51.76+51.93+51.88+51.72+51.75+53.45+51.62+51.92+56.49+51.8+51.21+52.2+51.42+52+51.68+51.56+51.51+50.82+51.7+51.43+50.82+51.26+51.43+51.09+51.44+53.17+53.48+51.73+51.44+51.68+52.71+51.16+51.81+50.98+52.55+51.41+51.76+51.32+52.2)/54</f>
        <v>51.956851851851852</v>
      </c>
      <c r="G8" s="129">
        <v>105</v>
      </c>
      <c r="H8" s="131">
        <v>6.5543981481481481E-2</v>
      </c>
      <c r="I8" s="131">
        <f t="shared" si="0"/>
        <v>3.380787037037037E-2</v>
      </c>
      <c r="J8" s="132">
        <f>I8</f>
        <v>3.380787037037037E-2</v>
      </c>
      <c r="K8" s="133">
        <f t="shared" si="1"/>
        <v>1.1368518518518513</v>
      </c>
    </row>
    <row r="9" spans="1:11" s="2" customFormat="1" ht="30" customHeight="1">
      <c r="A9" s="134"/>
      <c r="B9" s="135">
        <v>4</v>
      </c>
      <c r="C9" s="129" t="s">
        <v>92</v>
      </c>
      <c r="D9" s="129">
        <v>21</v>
      </c>
      <c r="E9" s="129">
        <v>52.57</v>
      </c>
      <c r="F9" s="130">
        <f>(55.99+54.46+54.82+55.33+54.12+54.26+54.16+53.87+53.68+53.66+53.17+53.76+53.44+53.06+52.99+52.72+52.57+52.86+52.94+53.27+52.98+53+53.23)/23</f>
        <v>53.666956521739138</v>
      </c>
      <c r="G9" s="129">
        <v>129</v>
      </c>
      <c r="H9" s="131">
        <v>8.1203703703703708E-2</v>
      </c>
      <c r="I9" s="131">
        <f t="shared" si="0"/>
        <v>1.5659722222222228E-2</v>
      </c>
      <c r="J9" s="132">
        <f>I9</f>
        <v>1.5659722222222228E-2</v>
      </c>
      <c r="K9" s="133">
        <f t="shared" si="1"/>
        <v>1.0969565217391377</v>
      </c>
    </row>
    <row r="10" spans="1:11" s="2" customFormat="1" ht="30" customHeight="1">
      <c r="A10" s="134"/>
      <c r="B10" s="135">
        <v>5</v>
      </c>
      <c r="C10" s="129" t="s">
        <v>96</v>
      </c>
      <c r="D10" s="129">
        <v>1</v>
      </c>
      <c r="E10" s="129">
        <v>52.74</v>
      </c>
      <c r="F10" s="130">
        <f>(55+54.27+54.05+53.66+53.6+62.76+53.91+53.58+58.16+53.52+53.13+53.27+53.38+53.72+54.55+53.59+52.75+52.74+52.85+53.92+59.92+52.89+52.92+52.88+53.08+53.07+53.53+53.3+53.74+53.94+53.29+53.96+53.91+53.8+53.88+54.16)/36</f>
        <v>54.130000000000017</v>
      </c>
      <c r="G10" s="129">
        <v>166</v>
      </c>
      <c r="H10" s="131">
        <v>0.10510416666666667</v>
      </c>
      <c r="I10" s="131">
        <f t="shared" si="0"/>
        <v>2.3900462962962957E-2</v>
      </c>
      <c r="J10" s="132">
        <f>I10+J7</f>
        <v>3.9016203703703692E-2</v>
      </c>
      <c r="K10" s="133">
        <f t="shared" si="1"/>
        <v>1.3900000000000148</v>
      </c>
    </row>
    <row r="11" spans="1:11" s="2" customFormat="1" ht="30" customHeight="1">
      <c r="A11" s="134"/>
      <c r="B11" s="135">
        <v>6</v>
      </c>
      <c r="C11" s="129" t="s">
        <v>100</v>
      </c>
      <c r="D11" s="129">
        <v>12</v>
      </c>
      <c r="E11" s="129">
        <v>51.39</v>
      </c>
      <c r="F11" s="130">
        <f>(55.14+54.53+54.11+54.03+53.76+53.42+53.97+53.14+53.2+53.9+52.99+52.92+52.84+52.5+52.31+51.9+52.29+52.33+52.07+52.4+51.66+51.51+51.41+52.23+51.65+51.77+51.39+51.89+51.79+52.32)/30</f>
        <v>52.712333333333348</v>
      </c>
      <c r="G11" s="129">
        <v>197</v>
      </c>
      <c r="H11" s="131">
        <v>0.12479166666666668</v>
      </c>
      <c r="I11" s="131">
        <f t="shared" si="0"/>
        <v>1.9687500000000011E-2</v>
      </c>
      <c r="J11" s="132">
        <f>I11+J6</f>
        <v>3.6307870370370379E-2</v>
      </c>
      <c r="K11" s="133">
        <f t="shared" si="1"/>
        <v>1.3223333333333471</v>
      </c>
    </row>
    <row r="12" spans="1:11" s="2" customFormat="1" ht="30" customHeight="1">
      <c r="A12" s="134"/>
      <c r="B12" s="135">
        <v>7</v>
      </c>
      <c r="C12" s="129" t="s">
        <v>96</v>
      </c>
      <c r="D12" s="129">
        <v>2</v>
      </c>
      <c r="E12" s="129">
        <v>51.47</v>
      </c>
      <c r="F12" s="130">
        <f>(55.8+54.64+54.47+53.99+53.6+53.82+53.34+53.44+52.9+54.5+54.35+52.99+52.84+53.22+52.66+52.8+52.46+52.18+52.33+52.85+52.13+52.03+52.03+53.06+51.84+52.21+52.27+52.2+52.73+52.33+52.34+52.25+51.65+52.11+52.04+53.3+51.84+51.68+51.47+51.75+51.76+52.31+52.39+52.97+51.73+52.03+51.64+51.46+52.78+51.23+52.58+51.75+51.5+52.04+52.32)/55</f>
        <v>52.598727272727267</v>
      </c>
      <c r="G12" s="129">
        <v>253</v>
      </c>
      <c r="H12" s="131">
        <v>0.15964120370370369</v>
      </c>
      <c r="I12" s="131">
        <f t="shared" si="0"/>
        <v>3.4849537037037012E-2</v>
      </c>
      <c r="J12" s="132">
        <f>I12+J10</f>
        <v>7.3865740740740704E-2</v>
      </c>
      <c r="K12" s="133">
        <f t="shared" si="1"/>
        <v>1.1287272727272679</v>
      </c>
    </row>
    <row r="13" spans="1:11" s="2" customFormat="1" ht="30" customHeight="1" thickBot="1">
      <c r="A13" s="134"/>
      <c r="B13" s="135">
        <v>8</v>
      </c>
      <c r="C13" s="129" t="s">
        <v>92</v>
      </c>
      <c r="D13" s="129">
        <v>14</v>
      </c>
      <c r="E13" s="136">
        <v>48.65</v>
      </c>
      <c r="F13" s="130">
        <f>(51.8+50.99+50.86+52.67+50.63+49.91+50.72+50.36+49.7+49.91+48.99+49.41+48.82+48.75+48.84+48.47+49.21+49.93+49.73+49.68+50+49.09+48.47+48.47+48.65+48.9)/26</f>
        <v>49.729230769230782</v>
      </c>
      <c r="G13" s="129">
        <v>280</v>
      </c>
      <c r="H13" s="131">
        <v>0.17591435185185186</v>
      </c>
      <c r="I13" s="131">
        <f t="shared" si="0"/>
        <v>1.6273148148148175E-2</v>
      </c>
      <c r="J13" s="132">
        <f>I13+J9</f>
        <v>3.1932870370370403E-2</v>
      </c>
      <c r="K13" s="133">
        <f t="shared" si="1"/>
        <v>1.079230769230783</v>
      </c>
    </row>
    <row r="14" spans="1:11" s="2" customFormat="1" ht="30" customHeight="1" thickBot="1">
      <c r="A14" s="134"/>
      <c r="B14" s="135">
        <v>9</v>
      </c>
      <c r="C14" s="129" t="s">
        <v>100</v>
      </c>
      <c r="D14" s="58">
        <v>88</v>
      </c>
      <c r="E14" s="137">
        <v>48.1</v>
      </c>
      <c r="F14" s="138">
        <f>(49.69+50.78+49.57+49.64+49.75+49.66+49.91+49.46+49.32+48.89+48.86+49.04+49.18+48.65+48.64+48.68+48.56+48.32+49.98+48.11+48.48+48.63+50.08+48.22+48.95+48.5+48.9+49.6+49.45+48.87+49.56+51.83+50.37+49.26+48.67+49.3+48.39+50.13+49.16+48.71+48.36+48.22+51.43+50.59+48.48+48.48+48.35+48.15+48.1+49.69+49.16+48.22+48.45)/53</f>
        <v>49.159056603773571</v>
      </c>
      <c r="G14" s="129">
        <v>334</v>
      </c>
      <c r="H14" s="131">
        <v>0.2074074074074074</v>
      </c>
      <c r="I14" s="131">
        <f t="shared" si="0"/>
        <v>3.1493055555555538E-2</v>
      </c>
      <c r="J14" s="132">
        <f>I14+J11</f>
        <v>6.7800925925925917E-2</v>
      </c>
      <c r="K14" s="133">
        <f t="shared" si="1"/>
        <v>1.0590566037735698</v>
      </c>
    </row>
    <row r="15" spans="1:11" s="2" customFormat="1" ht="30" customHeight="1" thickBot="1">
      <c r="A15" s="134"/>
      <c r="B15" s="135">
        <v>10</v>
      </c>
      <c r="C15" s="129" t="s">
        <v>104</v>
      </c>
      <c r="D15" s="129">
        <v>10</v>
      </c>
      <c r="E15" s="139">
        <v>48.22</v>
      </c>
      <c r="F15" s="140">
        <f>(49.51+48.78+49.01+49.43+49.13+48.93+48.22+49.65+48.37+48.94+48.83+48.62+48.47+48.76+48.66+49.43+49.03+48.4)/18</f>
        <v>48.898333333333326</v>
      </c>
      <c r="G15" s="141">
        <v>353</v>
      </c>
      <c r="H15" s="131">
        <v>0.21891203703703702</v>
      </c>
      <c r="I15" s="131">
        <f t="shared" si="0"/>
        <v>1.1504629629629615E-2</v>
      </c>
      <c r="J15" s="132">
        <f>+J8</f>
        <v>3.380787037037037E-2</v>
      </c>
      <c r="K15" s="133">
        <f t="shared" si="1"/>
        <v>0.67833333333332746</v>
      </c>
    </row>
    <row r="16" spans="1:11" s="2" customFormat="1" ht="30" customHeight="1" thickBot="1">
      <c r="A16" s="134"/>
      <c r="B16" s="135">
        <v>11</v>
      </c>
      <c r="C16" s="129" t="s">
        <v>96</v>
      </c>
      <c r="D16" s="58">
        <v>14</v>
      </c>
      <c r="E16" s="142">
        <v>50.94</v>
      </c>
      <c r="F16" s="143">
        <f>(52.54+51.42+51.78+51.31+50.97+51.01+51.54+52.41+51.42+51.04+51.45+51.35+51.31+50.94+51.59+51.4+51.54+53.44+52.29+51.71+51.69+51.23+51.72+50.94+51.57+51.21+51.1+51.08+52.59)/29</f>
        <v>51.572068965517246</v>
      </c>
      <c r="G16" s="129">
        <v>383</v>
      </c>
      <c r="H16" s="131">
        <v>0.23755787037037038</v>
      </c>
      <c r="I16" s="131">
        <f t="shared" si="0"/>
        <v>1.8645833333333361E-2</v>
      </c>
      <c r="J16" s="132">
        <f>I16+J12</f>
        <v>9.2511574074074066E-2</v>
      </c>
      <c r="K16" s="144">
        <f t="shared" si="1"/>
        <v>0.63206896551724867</v>
      </c>
    </row>
    <row r="17" spans="1:13" s="2" customFormat="1" ht="30" customHeight="1">
      <c r="A17" s="134"/>
      <c r="B17" s="135">
        <v>12</v>
      </c>
      <c r="C17" s="129" t="s">
        <v>92</v>
      </c>
      <c r="D17" s="129">
        <v>1</v>
      </c>
      <c r="E17" s="145">
        <v>48.97</v>
      </c>
      <c r="F17" s="130">
        <f>(50.43+49.72+49.53+49.18+50.22+49.92+48.97+49.13+49.03+50.25+49.05+49.46+49.71+50.26+50.24+50.89+51.17+51.48)/18</f>
        <v>49.924444444444447</v>
      </c>
      <c r="G17" s="129">
        <v>402</v>
      </c>
      <c r="H17" s="131">
        <v>0.2492824074074074</v>
      </c>
      <c r="I17" s="131">
        <f t="shared" si="0"/>
        <v>1.1724537037037019E-2</v>
      </c>
      <c r="J17" s="132">
        <f>I17+J13</f>
        <v>4.3657407407407423E-2</v>
      </c>
      <c r="K17" s="133">
        <f t="shared" si="1"/>
        <v>0.95444444444444798</v>
      </c>
    </row>
    <row r="18" spans="1:13" s="2" customFormat="1" ht="30" customHeight="1">
      <c r="A18" s="134"/>
      <c r="B18" s="135">
        <v>13</v>
      </c>
      <c r="C18" s="129" t="s">
        <v>96</v>
      </c>
      <c r="D18" s="129">
        <v>88</v>
      </c>
      <c r="E18" s="129">
        <v>53.91</v>
      </c>
      <c r="F18" s="130">
        <f>(56.67+54.97+54.83+54.3+54.63+54.73+54.36+53.91+54.87+54.57+54.36+54.39+56+54.58+54.15+54.28+54.32+55.61+55.04+54.97+55.31+55.22+55.5+55.34+54.89+54.81+56.01)/27</f>
        <v>54.911851851851857</v>
      </c>
      <c r="G18" s="129">
        <v>430</v>
      </c>
      <c r="H18" s="131">
        <v>0.2678935185185185</v>
      </c>
      <c r="I18" s="131">
        <f t="shared" si="0"/>
        <v>1.8611111111111106E-2</v>
      </c>
      <c r="J18" s="146">
        <f>I18+J16</f>
        <v>0.11112268518518517</v>
      </c>
      <c r="K18" s="133">
        <f t="shared" si="1"/>
        <v>1.0018518518518604</v>
      </c>
    </row>
    <row r="19" spans="1:13" s="2" customFormat="1" ht="30" customHeight="1">
      <c r="A19" s="134"/>
      <c r="B19" s="135">
        <v>14</v>
      </c>
      <c r="C19" s="129" t="s">
        <v>104</v>
      </c>
      <c r="D19" s="129">
        <v>11</v>
      </c>
      <c r="E19" s="129">
        <v>50.92</v>
      </c>
      <c r="F19" s="130">
        <f>(53.22+53.65+53.1+52.5+54.45+52.68+53.79+53.09+52.67+52.7+52.79+52.28+51.75+53.2+51.54+51.89+51.25+50.92+52.21)/19</f>
        <v>52.614736842105259</v>
      </c>
      <c r="G19" s="129">
        <v>451</v>
      </c>
      <c r="H19" s="131">
        <v>0.2835185185185185</v>
      </c>
      <c r="I19" s="131">
        <f t="shared" si="0"/>
        <v>1.5625E-2</v>
      </c>
      <c r="J19" s="132">
        <f>I19+J15</f>
        <v>4.943287037037037E-2</v>
      </c>
      <c r="K19" s="133">
        <f t="shared" si="1"/>
        <v>1.6947368421052573</v>
      </c>
    </row>
    <row r="20" spans="1:13" s="2" customFormat="1" ht="30" customHeight="1">
      <c r="A20" s="134"/>
      <c r="B20" s="135">
        <v>15</v>
      </c>
      <c r="C20" s="129" t="s">
        <v>92</v>
      </c>
      <c r="D20" s="129">
        <v>1</v>
      </c>
      <c r="E20" s="129">
        <v>49.61</v>
      </c>
      <c r="F20" s="130">
        <f>(53.37+51.61+51.39+51.49+51.25+51.17+51.58+51.12+51.09+50.75+51.24+50.6+51.73+51.09+51.64+51.01+51.29+52.13+50.94+50.87+50.82+50.59+50.24+50.65+50.54+49.88+49.91+50.11+49.95+51.04+49.9+49.61+50.01+50.02+50.27+50.09+50.4+50.33+50.56+55.72)/40</f>
        <v>50.949999999999996</v>
      </c>
      <c r="G20" s="129">
        <v>492</v>
      </c>
      <c r="H20" s="131">
        <v>0.30846064814814816</v>
      </c>
      <c r="I20" s="131">
        <f t="shared" si="0"/>
        <v>2.4942129629629661E-2</v>
      </c>
      <c r="J20" s="132">
        <f>I20+J17</f>
        <v>6.8599537037037084E-2</v>
      </c>
      <c r="K20" s="133">
        <f t="shared" si="1"/>
        <v>1.3399999999999963</v>
      </c>
    </row>
    <row r="21" spans="1:13" s="2" customFormat="1" ht="30" customHeight="1">
      <c r="A21" s="134"/>
      <c r="B21" s="135">
        <v>16</v>
      </c>
      <c r="C21" s="129" t="s">
        <v>100</v>
      </c>
      <c r="D21" s="129">
        <v>14</v>
      </c>
      <c r="E21" s="129">
        <v>51.39</v>
      </c>
      <c r="F21" s="130">
        <f>(52.32+51.69+51.87+51.59+52.28+52.28+52.24+52.76+51.9+51.75+51.82+52.28+51.75+52.22+51.5+52.08+51.41+52.23+51.39+51.73+52.1)/21</f>
        <v>51.961428571428563</v>
      </c>
      <c r="G21" s="129">
        <v>514</v>
      </c>
      <c r="H21" s="131">
        <v>0.32246527777777778</v>
      </c>
      <c r="I21" s="131">
        <f t="shared" si="0"/>
        <v>1.4004629629629617E-2</v>
      </c>
      <c r="J21" s="132">
        <f>I21+J14</f>
        <v>8.1805555555555534E-2</v>
      </c>
      <c r="K21" s="133">
        <f t="shared" si="1"/>
        <v>0.57142857142856229</v>
      </c>
    </row>
    <row r="22" spans="1:13" s="2" customFormat="1" ht="30" customHeight="1">
      <c r="A22" s="134"/>
      <c r="B22" s="135">
        <v>17</v>
      </c>
      <c r="C22" s="129" t="s">
        <v>92</v>
      </c>
      <c r="D22" s="129">
        <v>88</v>
      </c>
      <c r="E22" s="129">
        <v>49.45</v>
      </c>
      <c r="F22" s="130">
        <f>(51.18+51.14+51.99+51.32+50.72+50.67+50.67+51.86+51.34+50.67+51.5+50.13+49.83+50.29+50.43+50.24+50.1+50.2+50.03+50.38+50.08+50.71+51.4+50.44+50.44+50.11+49.95+49.95+49.94+50.11+50+50.04+49.7+49.86+49.92+49.77+49.45+49.51)/38</f>
        <v>50.422894736842117</v>
      </c>
      <c r="G22" s="129">
        <v>553</v>
      </c>
      <c r="H22" s="131">
        <v>0.3460300925925926</v>
      </c>
      <c r="I22" s="131">
        <f t="shared" si="0"/>
        <v>2.3564814814814816E-2</v>
      </c>
      <c r="J22" s="132">
        <f>I22+J20</f>
        <v>9.21643518518519E-2</v>
      </c>
      <c r="K22" s="133">
        <f t="shared" si="1"/>
        <v>0.97289473684211458</v>
      </c>
    </row>
    <row r="23" spans="1:13" s="2" customFormat="1" ht="30" customHeight="1">
      <c r="A23" s="134"/>
      <c r="B23" s="135">
        <v>18</v>
      </c>
      <c r="C23" s="129" t="s">
        <v>100</v>
      </c>
      <c r="D23" s="129">
        <v>21</v>
      </c>
      <c r="E23" s="129">
        <v>50.65</v>
      </c>
      <c r="F23" s="130">
        <f>(51.33+51.66+52.27+52.86+51.88+52.08+51.38+51.3+51.75+52+51.75+51.15+51.97+51.06+51.44+51.3+50.69+51.15+50.79+51.08+50.65+51.67+52.64+51.14+51.02+50.66+51.26+51.03+51.27+50.82+50.7+51.31+51.12+51.68+51.21+51.21+51.22)/37</f>
        <v>51.391891891891902</v>
      </c>
      <c r="G23" s="129">
        <v>591</v>
      </c>
      <c r="H23" s="131">
        <v>0.36936342592592591</v>
      </c>
      <c r="I23" s="131">
        <f t="shared" si="0"/>
        <v>2.3333333333333317E-2</v>
      </c>
      <c r="J23" s="132">
        <f>I23+J21</f>
        <v>0.10513888888888885</v>
      </c>
      <c r="K23" s="133">
        <f t="shared" si="1"/>
        <v>0.7418918918919033</v>
      </c>
    </row>
    <row r="24" spans="1:13" s="2" customFormat="1" ht="30" customHeight="1">
      <c r="A24" s="134"/>
      <c r="B24" s="135">
        <v>19</v>
      </c>
      <c r="C24" s="129" t="s">
        <v>92</v>
      </c>
      <c r="D24" s="129">
        <v>10</v>
      </c>
      <c r="E24" s="129">
        <v>49.01</v>
      </c>
      <c r="F24" s="130">
        <f>(51.95+50.53+50.23+50.52+50.18+49.9+50.36+50.86+50.36+49.35+49.65+49.63+49.31+49.19+50.33+50.17+50.55+49.19+49.03+49.36+49.8+49.37+49+49.01+49.08+49.36+49.32+49.48+49.38+49.51+49.18)/31</f>
        <v>49.778709677419357</v>
      </c>
      <c r="G24" s="129">
        <v>623</v>
      </c>
      <c r="H24" s="131">
        <v>0.3885763888888889</v>
      </c>
      <c r="I24" s="131">
        <f t="shared" si="0"/>
        <v>1.9212962962962987E-2</v>
      </c>
      <c r="J24" s="132">
        <f>I24+J22</f>
        <v>0.11137731481481489</v>
      </c>
      <c r="K24" s="133">
        <f t="shared" si="1"/>
        <v>0.76870967741935914</v>
      </c>
    </row>
    <row r="25" spans="1:13" s="2" customFormat="1" ht="30" customHeight="1">
      <c r="A25" s="134"/>
      <c r="B25" s="135">
        <v>20</v>
      </c>
      <c r="C25" s="129" t="s">
        <v>100</v>
      </c>
      <c r="D25" s="129">
        <v>88</v>
      </c>
      <c r="E25" s="129">
        <v>49.77</v>
      </c>
      <c r="F25" s="130">
        <f>(50.64+51.41+50.21+50.27+50.01+49.77+50.11+50.08+49.94+51.46+50.49+50.69+50.59+50.3+49.95+50.79+50.13+50.07+50.13+50.58+52.24+50.15+50.65+50.25+50.53+50.27+50.13+50.62+51.03+50.32+50.4+50.73+50.6+50.16+50.62+50.61+50.25+50.46+50.26+50.1+50.31)/41</f>
        <v>50.446585365853657</v>
      </c>
      <c r="G25" s="129">
        <v>665</v>
      </c>
      <c r="H25" s="131">
        <v>0.41380787037037042</v>
      </c>
      <c r="I25" s="131">
        <f t="shared" si="0"/>
        <v>2.5231481481481521E-2</v>
      </c>
      <c r="J25" s="132">
        <f>I25+J23</f>
        <v>0.13037037037037036</v>
      </c>
      <c r="K25" s="133">
        <f t="shared" si="1"/>
        <v>0.67658536585365425</v>
      </c>
    </row>
    <row r="26" spans="1:13" s="2" customFormat="1" ht="30" customHeight="1" thickBot="1">
      <c r="A26" s="134"/>
      <c r="B26" s="135">
        <v>21</v>
      </c>
      <c r="C26" s="129" t="s">
        <v>104</v>
      </c>
      <c r="D26" s="129">
        <v>6</v>
      </c>
      <c r="E26" s="136">
        <v>49.62</v>
      </c>
      <c r="F26" s="130">
        <f>(50.81+50.75+50.55+51.2+52.47+51.05+50.57+51.16+50.47+50.4+51.21+50.68+50.46+51.05+49.79+50.33+50.34+49.92+50.33+50.91+50.25+49.75+49.62+49.91)/24</f>
        <v>50.582499999999989</v>
      </c>
      <c r="G26" s="129">
        <v>690</v>
      </c>
      <c r="H26" s="131">
        <v>0.42920138888888887</v>
      </c>
      <c r="I26" s="131">
        <f t="shared" si="0"/>
        <v>1.5393518518518445E-2</v>
      </c>
      <c r="J26" s="132">
        <f>I26+J19</f>
        <v>6.4826388888888808E-2</v>
      </c>
      <c r="K26" s="133">
        <f t="shared" si="1"/>
        <v>0.96249999999999147</v>
      </c>
    </row>
    <row r="27" spans="1:13" s="2" customFormat="1" ht="30" customHeight="1" thickBot="1">
      <c r="A27" s="134"/>
      <c r="B27" s="135">
        <v>22</v>
      </c>
      <c r="C27" s="129" t="s">
        <v>92</v>
      </c>
      <c r="D27" s="58">
        <v>7</v>
      </c>
      <c r="E27" s="137">
        <v>47.78</v>
      </c>
      <c r="F27" s="147">
        <f>(49.88+50.14+49.22+49.21+48.92+49.83+48.59+48.76+48.35+48.38+48.29+48.63+48.85+49.49+49.05+48.54+49.57+48.38+49.6+50.1+72.6+48.34+49.3+48.54+48.89+48.5+48.7+48.11+48.92+49.83+52.77+49.29+49.14+48.43+48.44+51.26+48.22+48.57+48.38+48.5+49.46+47.8+48.18+47.78+47.95+47.97+48.03+51.74)/48</f>
        <v>49.487916666666656</v>
      </c>
      <c r="G27" s="129">
        <v>739</v>
      </c>
      <c r="H27" s="131">
        <v>0.45806712962962964</v>
      </c>
      <c r="I27" s="131">
        <f t="shared" si="0"/>
        <v>2.8865740740740775E-2</v>
      </c>
      <c r="J27" s="132">
        <f>I27+J24</f>
        <v>0.14024305555555566</v>
      </c>
      <c r="K27" s="133">
        <f t="shared" si="1"/>
        <v>1.7079166666666552</v>
      </c>
    </row>
    <row r="28" spans="1:13" s="2" customFormat="1" ht="30" customHeight="1" thickBot="1">
      <c r="A28" s="134"/>
      <c r="B28" s="135">
        <v>23</v>
      </c>
      <c r="C28" s="129" t="s">
        <v>104</v>
      </c>
      <c r="D28" s="58">
        <v>10</v>
      </c>
      <c r="E28" s="148">
        <v>47.59</v>
      </c>
      <c r="F28" s="147">
        <f>(50.04+49.29+49.13+49.65+50.37+49.35+49.58+49.3+49+48.11+48.15+48.25+69.16+48.03+48.42+48.92+47.86+48.1+48.43+48.17+62.68+47.59+47.94+48.62+47.82+47.63+48.22+48.23+48.02+48.55+48.52+48.46+49.91+49.38+50.22+49.54+49.16+49.81+49.18+50.28+49.52+49.5+50.77+50.12+49.47+49.96+49.84+49.59+49.04+49.74+48.91+52.41+50.1+49.18+49.98+49.53+49.94+50+49.3+49.63)/60</f>
        <v>49.726666666666667</v>
      </c>
      <c r="G28" s="129">
        <v>800</v>
      </c>
      <c r="H28" s="131">
        <v>0.49406250000000002</v>
      </c>
      <c r="I28" s="131">
        <f t="shared" si="0"/>
        <v>3.5995370370370372E-2</v>
      </c>
      <c r="J28" s="132">
        <f>I28+J26</f>
        <v>0.10082175925925918</v>
      </c>
      <c r="K28" s="133">
        <f t="shared" si="1"/>
        <v>2.1366666666666632</v>
      </c>
      <c r="L28" s="133">
        <f>AVERAGE(K28,K26,K19,K15,K8)</f>
        <v>1.3218177387914181</v>
      </c>
      <c r="M28" s="2" t="s">
        <v>159</v>
      </c>
    </row>
    <row r="29" spans="1:13" s="2" customFormat="1" ht="30" customHeight="1">
      <c r="A29" s="134"/>
      <c r="B29" s="135">
        <v>24</v>
      </c>
      <c r="C29" s="129" t="s">
        <v>100</v>
      </c>
      <c r="D29" s="129">
        <v>5</v>
      </c>
      <c r="E29" s="149">
        <v>50.01</v>
      </c>
      <c r="F29" s="130">
        <f>(53.14+53.1+52.5+52.08+51.95+51.54+51.34+51.52+51.13+50.86+50.82+50.95+50.63+52.1+50.57+50.25+50.2+50.38+50.01+50.01)/20</f>
        <v>51.254000000000005</v>
      </c>
      <c r="G29" s="7">
        <v>821</v>
      </c>
      <c r="H29" s="131">
        <v>0.5074305555555555</v>
      </c>
      <c r="I29" s="131">
        <f t="shared" si="0"/>
        <v>1.336805555555548E-2</v>
      </c>
      <c r="J29" s="150">
        <f>I29+J25</f>
        <v>0.14373842592592584</v>
      </c>
      <c r="K29" s="133">
        <f t="shared" si="1"/>
        <v>1.2440000000000069</v>
      </c>
      <c r="L29" s="144">
        <f>AVERAGE(K18,K16,K12,K10,K7)</f>
        <v>0.97898416347382233</v>
      </c>
      <c r="M29" s="2" t="s">
        <v>160</v>
      </c>
    </row>
    <row r="30" spans="1:13" s="2" customFormat="1" ht="30" customHeight="1">
      <c r="A30" s="134"/>
      <c r="B30" s="135">
        <v>25</v>
      </c>
      <c r="C30" s="129" t="s">
        <v>92</v>
      </c>
      <c r="D30" s="129">
        <v>11</v>
      </c>
      <c r="E30" s="129">
        <v>48.35</v>
      </c>
      <c r="F30" s="130">
        <f>(51.6+50.02+49.41+49.04+49.24+49.62+49.66+49.32+49.4+49.19+48.94+48.94+48.42+49.1+49.42+49.21+50.52+48.38+48.66+49.49+48.69+48.35)/22</f>
        <v>49.300909090909087</v>
      </c>
      <c r="G30" s="129">
        <v>845</v>
      </c>
      <c r="H30" s="131">
        <v>0.52408564814814818</v>
      </c>
      <c r="I30" s="131">
        <f>H30-H29</f>
        <v>1.665509259259268E-2</v>
      </c>
      <c r="J30" s="151">
        <f>I30+J27</f>
        <v>0.15689814814814834</v>
      </c>
      <c r="K30" s="133">
        <f t="shared" si="1"/>
        <v>0.95090909090908582</v>
      </c>
      <c r="L30" s="133">
        <f>AVERAGE(K30,K27,K24,K22,K20,K17,K13,K9)</f>
        <v>1.1088827384064475</v>
      </c>
      <c r="M30" s="2" t="s">
        <v>161</v>
      </c>
    </row>
    <row r="31" spans="1:13" s="2" customFormat="1" ht="30" customHeight="1" thickBot="1">
      <c r="A31" s="152"/>
      <c r="B31" s="153" t="s">
        <v>162</v>
      </c>
      <c r="C31" s="129" t="s">
        <v>100</v>
      </c>
      <c r="D31" s="129">
        <v>12</v>
      </c>
      <c r="E31" s="129">
        <v>48.33</v>
      </c>
      <c r="F31" s="130">
        <f>(49.93+49.42+49.6+49.74+49.19+49.14+49.46+49.12+49.48+49.17+49.44+49.34+50.34+51.72+49.81+49.21+49.02+48.95+48.46+48.64+48.62+48.7+48.72+49.06+48.73+48.63+48.33+49.29+50.18)/29</f>
        <v>49.291034482758633</v>
      </c>
      <c r="G31" s="129">
        <v>875</v>
      </c>
      <c r="H31" s="131">
        <v>0.54200231481481487</v>
      </c>
      <c r="I31" s="131">
        <f t="shared" si="0"/>
        <v>1.7916666666666692E-2</v>
      </c>
      <c r="J31" s="154">
        <f>I31+J29</f>
        <v>0.16165509259259253</v>
      </c>
      <c r="K31" s="133">
        <f t="shared" si="1"/>
        <v>0.96103448275863457</v>
      </c>
      <c r="L31" s="133">
        <f>AVERAGE(K31,K29,K25,K23,K21,K14,K11,K6)</f>
        <v>1.0607449848336641</v>
      </c>
      <c r="M31" s="2" t="s">
        <v>163</v>
      </c>
    </row>
    <row r="32" spans="1:13">
      <c r="E32" s="1">
        <f>AVERAGE(E6:E31)</f>
        <v>50.176153846153838</v>
      </c>
      <c r="F32" s="155">
        <f>AVERAGE(F6:F31)</f>
        <v>51.286193511432579</v>
      </c>
    </row>
  </sheetData>
  <mergeCells count="12">
    <mergeCell ref="I4:J4"/>
    <mergeCell ref="A6:A31"/>
    <mergeCell ref="A1:J1"/>
    <mergeCell ref="A3:J3"/>
    <mergeCell ref="A4:A5"/>
    <mergeCell ref="B4:B5"/>
    <mergeCell ref="C4:C5"/>
    <mergeCell ref="D4:D5"/>
    <mergeCell ref="E4:E5"/>
    <mergeCell ref="F4:F5"/>
    <mergeCell ref="G4:G5"/>
    <mergeCell ref="H4:H5"/>
  </mergeCells>
  <pageMargins left="0.31496062992125984" right="0.31496062992125984" top="0.55118110236220474" bottom="0.11811023622047245" header="0.31496062992125984" footer="0.31496062992125984"/>
  <pageSetup paperSize="9" scale="93" orientation="portrait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32"/>
  <sheetViews>
    <sheetView topLeftCell="A17" zoomScale="75" zoomScaleNormal="75" workbookViewId="0">
      <selection activeCell="F29" sqref="F29"/>
    </sheetView>
  </sheetViews>
  <sheetFormatPr defaultRowHeight="15"/>
  <cols>
    <col min="1" max="1" width="10.5703125" customWidth="1"/>
    <col min="2" max="2" width="7.28515625" customWidth="1"/>
    <col min="3" max="3" width="20.85546875" bestFit="1" customWidth="1"/>
    <col min="4" max="5" width="8.85546875" style="1" customWidth="1"/>
    <col min="6" max="6" width="16.28515625" style="1" customWidth="1"/>
    <col min="7" max="7" width="9.42578125" style="1" customWidth="1"/>
    <col min="8" max="8" width="18.5703125" style="1" customWidth="1"/>
    <col min="9" max="9" width="12.85546875" style="1" customWidth="1"/>
    <col min="10" max="10" width="17.5703125" style="1" customWidth="1"/>
    <col min="11" max="11" width="6.140625" style="156" customWidth="1"/>
    <col min="12" max="12" width="0" hidden="1" customWidth="1"/>
  </cols>
  <sheetData>
    <row r="1" spans="1:11" ht="19.5">
      <c r="A1" s="94" t="s">
        <v>146</v>
      </c>
      <c r="B1" s="94"/>
      <c r="C1" s="94"/>
      <c r="D1" s="94"/>
      <c r="E1" s="94"/>
      <c r="F1" s="94"/>
      <c r="G1" s="94"/>
      <c r="H1" s="94"/>
      <c r="I1" s="94"/>
      <c r="J1" s="94"/>
    </row>
    <row r="2" spans="1:11" ht="10.5" customHeight="1"/>
    <row r="3" spans="1:11" ht="15.75" customHeight="1" thickBot="1">
      <c r="A3" s="95" t="s">
        <v>147</v>
      </c>
      <c r="B3" s="95"/>
      <c r="C3" s="95"/>
      <c r="D3" s="95"/>
      <c r="E3" s="95"/>
      <c r="F3" s="95"/>
      <c r="G3" s="95"/>
      <c r="H3" s="95"/>
      <c r="I3" s="95"/>
      <c r="J3" s="95"/>
    </row>
    <row r="4" spans="1:11" s="1" customFormat="1" ht="25.5" customHeight="1">
      <c r="A4" s="114" t="s">
        <v>148</v>
      </c>
      <c r="B4" s="115" t="s">
        <v>149</v>
      </c>
      <c r="C4" s="115" t="s">
        <v>32</v>
      </c>
      <c r="D4" s="116" t="s">
        <v>150</v>
      </c>
      <c r="E4" s="117" t="s">
        <v>151</v>
      </c>
      <c r="F4" s="118" t="s">
        <v>152</v>
      </c>
      <c r="G4" s="115" t="s">
        <v>153</v>
      </c>
      <c r="H4" s="115" t="s">
        <v>154</v>
      </c>
      <c r="I4" s="96" t="s">
        <v>155</v>
      </c>
      <c r="J4" s="119"/>
      <c r="K4" s="157"/>
    </row>
    <row r="5" spans="1:11" s="1" customFormat="1" ht="22.5" customHeight="1" thickBot="1">
      <c r="A5" s="120"/>
      <c r="B5" s="121"/>
      <c r="C5" s="121"/>
      <c r="D5" s="122"/>
      <c r="E5" s="123"/>
      <c r="F5" s="124"/>
      <c r="G5" s="121"/>
      <c r="H5" s="121"/>
      <c r="I5" s="125" t="s">
        <v>156</v>
      </c>
      <c r="J5" s="125" t="s">
        <v>157</v>
      </c>
      <c r="K5" s="158" t="s">
        <v>164</v>
      </c>
    </row>
    <row r="6" spans="1:11" s="2" customFormat="1" ht="30" customHeight="1">
      <c r="A6" s="127" t="s">
        <v>165</v>
      </c>
      <c r="B6" s="25">
        <v>1</v>
      </c>
      <c r="C6" s="159" t="s">
        <v>166</v>
      </c>
      <c r="D6" s="160">
        <v>1</v>
      </c>
      <c r="E6" s="161">
        <v>51.1</v>
      </c>
      <c r="F6" s="162">
        <f>(56.22+55.22+54.88+56.21+54.45+54.43+53.79+54.72+53.85+54.3+53.29+52.81+52.77+53.29+51.73+52.36+54.16+52.28+52.31+52.19+52.38+51.73+51.76+51.82+51.76+51.7+52.83+51.72+52+51.1+52.29+51.97+51.94)/33</f>
        <v>53.038181818181819</v>
      </c>
      <c r="G6" s="161">
        <v>33</v>
      </c>
      <c r="H6" s="163">
        <v>2.0335648148148148E-2</v>
      </c>
      <c r="I6" s="163">
        <f>H6</f>
        <v>2.0335648148148148E-2</v>
      </c>
      <c r="J6" s="164">
        <f>I6</f>
        <v>2.0335648148148148E-2</v>
      </c>
      <c r="K6" s="165">
        <f>F6-E6</f>
        <v>1.9381818181818176</v>
      </c>
    </row>
    <row r="7" spans="1:11" s="2" customFormat="1" ht="30" customHeight="1">
      <c r="A7" s="134"/>
      <c r="B7" s="20">
        <v>2</v>
      </c>
      <c r="C7" s="166" t="s">
        <v>41</v>
      </c>
      <c r="D7" s="141">
        <v>14</v>
      </c>
      <c r="E7" s="129">
        <v>50.82</v>
      </c>
      <c r="F7" s="130">
        <f>(53.59+52.92+52.97+52.58+53.4+53.03+51.93+51.53+52.5+52.08+52.63+52.58+51.27+52.31+53.65+64.68+52.02+52.19+52.92+51.73+51.5+51.3+51.18+51.08+50.91+51.36+51.31+50.82+50.84+51.32+50.82+51.18+51.39+50.89+51.31+51.22+51.12+51.42+51.21+51.7+51.14+51.3)/42</f>
        <v>52.114999999999995</v>
      </c>
      <c r="G7" s="129">
        <v>76</v>
      </c>
      <c r="H7" s="131">
        <v>4.7002314814814816E-2</v>
      </c>
      <c r="I7" s="131">
        <f t="shared" ref="I7:I31" si="0">H7-H6</f>
        <v>2.6666666666666668E-2</v>
      </c>
      <c r="J7" s="132">
        <f>I7</f>
        <v>2.6666666666666668E-2</v>
      </c>
      <c r="K7" s="165">
        <f t="shared" ref="K7:K31" si="1">F7-E7</f>
        <v>1.2949999999999946</v>
      </c>
    </row>
    <row r="8" spans="1:11" s="2" customFormat="1" ht="30" customHeight="1">
      <c r="A8" s="134"/>
      <c r="B8" s="20">
        <v>3</v>
      </c>
      <c r="C8" s="166" t="s">
        <v>45</v>
      </c>
      <c r="D8" s="141">
        <v>13</v>
      </c>
      <c r="E8" s="129">
        <v>52.14</v>
      </c>
      <c r="F8" s="130">
        <f>(53.42+53.42+53.53+52.97+53.29+53.58+53.04+53.11+53.18+52.97+53.16+52.7+53.31+53.04+52.61+53.03+53.26+52.55+53+54.07+52.77+52.72+52.79+52.14)/24</f>
        <v>53.069166666666668</v>
      </c>
      <c r="G8" s="129">
        <v>101</v>
      </c>
      <c r="H8" s="131">
        <v>6.3101851851851853E-2</v>
      </c>
      <c r="I8" s="131">
        <f t="shared" si="0"/>
        <v>1.6099537037037037E-2</v>
      </c>
      <c r="J8" s="132">
        <f>I8</f>
        <v>1.6099537037037037E-2</v>
      </c>
      <c r="K8" s="165">
        <f t="shared" si="1"/>
        <v>0.92916666666666714</v>
      </c>
    </row>
    <row r="9" spans="1:11" s="2" customFormat="1" ht="30" customHeight="1">
      <c r="A9" s="134"/>
      <c r="B9" s="20">
        <v>4</v>
      </c>
      <c r="C9" s="166" t="s">
        <v>49</v>
      </c>
      <c r="D9" s="141">
        <v>11</v>
      </c>
      <c r="E9" s="129">
        <v>52.06</v>
      </c>
      <c r="F9" s="130">
        <f>(53.69+53.08+53.42+54.51+54.12+53.41+53.44+52.47+52.63+52.99+53.16+56.26+54.92+52.95+53.41+53.43+52.46+52.34+52.61+52.91+52.44+52.06+52.26+52.06+52.12+53.02+52.82+52.43+52.93)/29</f>
        <v>53.115517241379308</v>
      </c>
      <c r="G9" s="129">
        <v>131</v>
      </c>
      <c r="H9" s="131">
        <v>8.2268518518518519E-2</v>
      </c>
      <c r="I9" s="131">
        <f t="shared" si="0"/>
        <v>1.9166666666666665E-2</v>
      </c>
      <c r="J9" s="132">
        <f>I9</f>
        <v>1.9166666666666665E-2</v>
      </c>
      <c r="K9" s="165">
        <f t="shared" si="1"/>
        <v>1.0555172413793059</v>
      </c>
    </row>
    <row r="10" spans="1:11" s="2" customFormat="1" ht="30" customHeight="1">
      <c r="A10" s="134"/>
      <c r="B10" s="20">
        <v>5</v>
      </c>
      <c r="C10" s="166" t="s">
        <v>166</v>
      </c>
      <c r="D10" s="141">
        <v>3</v>
      </c>
      <c r="E10" s="129">
        <v>50.7</v>
      </c>
      <c r="F10" s="130">
        <f>(52.79+53.02+52.23+52.29+52.59+51.72+51.78+52.95+52.12+50.91+51.67+51.17+51.34+51.84+51.17+51.11+53.14+50.91+51.04+58.78+50.89+51.05+51.19+50.7+51.18+51.74+50.71+51.81+51.03+52.17+50.91+51.13+51.61+51.86+51.77+51.9+51.89+53.98+56.93)/39</f>
        <v>52.026153846153861</v>
      </c>
      <c r="G10" s="129">
        <v>171</v>
      </c>
      <c r="H10" s="131">
        <v>0.10707175925925926</v>
      </c>
      <c r="I10" s="131">
        <f t="shared" si="0"/>
        <v>2.4803240740740737E-2</v>
      </c>
      <c r="J10" s="132">
        <f t="shared" ref="J10:J20" si="2">I10+J6</f>
        <v>4.5138888888888881E-2</v>
      </c>
      <c r="K10" s="165">
        <f t="shared" si="1"/>
        <v>1.3261538461538578</v>
      </c>
    </row>
    <row r="11" spans="1:11" s="2" customFormat="1" ht="30" customHeight="1">
      <c r="A11" s="134"/>
      <c r="B11" s="20">
        <v>6</v>
      </c>
      <c r="C11" s="166" t="s">
        <v>41</v>
      </c>
      <c r="D11" s="141">
        <v>88</v>
      </c>
      <c r="E11" s="167">
        <v>50.68</v>
      </c>
      <c r="F11" s="130">
        <f>(53.29+53.04+53.14+52.25+52.52+51.59+51.61+53.18+52.92+51.71+50.99+51.4+50.89+51.18+51.43+52.07+51.15+50.89+51.15+50.84+50.68+51.98+50.91+51.89+52.61+51.26+52.43+51.7+51.64)/29</f>
        <v>51.804827586206912</v>
      </c>
      <c r="G11" s="129">
        <v>201</v>
      </c>
      <c r="H11" s="131">
        <v>0.1307986111111111</v>
      </c>
      <c r="I11" s="131">
        <f t="shared" si="0"/>
        <v>2.3726851851851846E-2</v>
      </c>
      <c r="J11" s="132">
        <f t="shared" si="2"/>
        <v>5.0393518518518518E-2</v>
      </c>
      <c r="K11" s="165">
        <f t="shared" si="1"/>
        <v>1.1248275862069121</v>
      </c>
    </row>
    <row r="12" spans="1:11" s="2" customFormat="1" ht="30" customHeight="1">
      <c r="A12" s="134"/>
      <c r="B12" s="20">
        <v>7</v>
      </c>
      <c r="C12" s="166" t="s">
        <v>45</v>
      </c>
      <c r="D12" s="141">
        <v>7</v>
      </c>
      <c r="E12" s="167">
        <v>49.48</v>
      </c>
      <c r="F12" s="130">
        <f>(52.21+52.18+51.87+52.39+51.81+51.61+51.55+51.41+51.22+51.37+51.4+51.12+51.48+51.5+51.02+50.95+50.66+50.52+50.09+52.47+51.17+49.92+51.19+49.88+50.34+49.91+49.99+49.93+49.48+51.54+50.47+50.58+50.77+49.79+50.03+50.09+49.95+50.06)/38</f>
        <v>50.892631578947373</v>
      </c>
      <c r="G12" s="129">
        <v>240</v>
      </c>
      <c r="H12" s="131">
        <v>0.14965277777777777</v>
      </c>
      <c r="I12" s="131">
        <f t="shared" si="0"/>
        <v>1.8854166666666672E-2</v>
      </c>
      <c r="J12" s="132">
        <f t="shared" si="2"/>
        <v>3.4953703703703709E-2</v>
      </c>
      <c r="K12" s="165">
        <f t="shared" si="1"/>
        <v>1.4126315789473765</v>
      </c>
    </row>
    <row r="13" spans="1:11" s="2" customFormat="1" ht="30" customHeight="1" thickBot="1">
      <c r="A13" s="134"/>
      <c r="B13" s="20">
        <v>8</v>
      </c>
      <c r="C13" s="166" t="s">
        <v>49</v>
      </c>
      <c r="D13" s="141">
        <v>88</v>
      </c>
      <c r="E13" s="168">
        <v>49.47</v>
      </c>
      <c r="F13" s="130">
        <f>(50.91+50.51+53.39+50.45+50.63+52.99+50.2+50.57+51+50.24+50.05+49.8+49.52+49.99+56.97+49.86+49.81+49.7+50.07+49.47+52.08+50.67+50.19+50.38+53.25+49.89+49.73+49.57+50.27+50.18+49.94+49.78+50.07)/33</f>
        <v>50.670606060606069</v>
      </c>
      <c r="G13" s="129">
        <v>274</v>
      </c>
      <c r="H13" s="131">
        <v>0.17033564814814817</v>
      </c>
      <c r="I13" s="131">
        <f t="shared" si="0"/>
        <v>2.0682870370370393E-2</v>
      </c>
      <c r="J13" s="132">
        <f t="shared" si="2"/>
        <v>3.9849537037037058E-2</v>
      </c>
      <c r="K13" s="165">
        <f t="shared" si="1"/>
        <v>1.20060606060607</v>
      </c>
    </row>
    <row r="14" spans="1:11" s="2" customFormat="1" ht="30" customHeight="1" thickBot="1">
      <c r="A14" s="134"/>
      <c r="B14" s="20">
        <v>9</v>
      </c>
      <c r="C14" s="166" t="s">
        <v>166</v>
      </c>
      <c r="D14" s="169">
        <v>1</v>
      </c>
      <c r="E14" s="170">
        <v>48.46</v>
      </c>
      <c r="F14" s="147">
        <f>(50.39+50.49+49.67+50.78+49.39+52.61+49.66+49.52+50.72+49.74+49.69+62.76+49.69+48.72+49.3+48.86+49.15+48.82+48.8+48.83+48.67+48.48+49.98+48.89+49.24+50.84+48.77+49.02+48.99+48.52+48.76)/31</f>
        <v>49.927419354838719</v>
      </c>
      <c r="G14" s="129">
        <v>306</v>
      </c>
      <c r="H14" s="131">
        <v>0.18966435185185185</v>
      </c>
      <c r="I14" s="131">
        <f t="shared" si="0"/>
        <v>1.9328703703703681E-2</v>
      </c>
      <c r="J14" s="132">
        <f t="shared" si="2"/>
        <v>6.4467592592592562E-2</v>
      </c>
      <c r="K14" s="165">
        <f t="shared" si="1"/>
        <v>1.467419354838718</v>
      </c>
    </row>
    <row r="15" spans="1:11" s="2" customFormat="1" ht="30" customHeight="1" thickBot="1">
      <c r="A15" s="134"/>
      <c r="B15" s="20">
        <v>10</v>
      </c>
      <c r="C15" s="166" t="s">
        <v>41</v>
      </c>
      <c r="D15" s="141">
        <v>14</v>
      </c>
      <c r="E15" s="171">
        <v>48.65</v>
      </c>
      <c r="F15" s="172">
        <f>(50.81+49.87+50.96+51.24+53.2+49.85+50.83+51.1+50.26+54.56+49.3+49.67+49.37+49.39+50.23+48.75+50.14+49.12+49.17+49+48.89+49.04+48.65+49.09+49.38+48.75+48.96+50.24+49.54)/29</f>
        <v>49.977931034482765</v>
      </c>
      <c r="G15" s="129">
        <v>336</v>
      </c>
      <c r="H15" s="131">
        <v>0.20775462962962962</v>
      </c>
      <c r="I15" s="131">
        <f t="shared" si="0"/>
        <v>1.8090277777777775E-2</v>
      </c>
      <c r="J15" s="132">
        <f t="shared" si="2"/>
        <v>6.8483796296296293E-2</v>
      </c>
      <c r="K15" s="165">
        <f t="shared" si="1"/>
        <v>1.3279310344827664</v>
      </c>
    </row>
    <row r="16" spans="1:11" s="2" customFormat="1" ht="30" customHeight="1" thickBot="1">
      <c r="A16" s="134"/>
      <c r="B16" s="20">
        <v>11</v>
      </c>
      <c r="C16" s="166" t="s">
        <v>45</v>
      </c>
      <c r="D16" s="141">
        <v>3</v>
      </c>
      <c r="E16" s="173">
        <v>48.31</v>
      </c>
      <c r="F16" s="140">
        <f>(50.22+50.39+49.1+49.01+49.01+51.81+49.26+49.26+49.42+49.41+48.81+49.15+49.02+48.66+48.66+48.84+48.87+48.31+48.48+48.79+48.9+50.23+48.65+49.75+48.78+49.11+48.91+50.24)/28</f>
        <v>49.251785714285724</v>
      </c>
      <c r="G16" s="141">
        <v>365</v>
      </c>
      <c r="H16" s="131">
        <v>0.22502314814814817</v>
      </c>
      <c r="I16" s="131">
        <f t="shared" si="0"/>
        <v>1.7268518518518544E-2</v>
      </c>
      <c r="J16" s="132">
        <f t="shared" si="2"/>
        <v>5.2222222222222253E-2</v>
      </c>
      <c r="K16" s="165">
        <f t="shared" si="1"/>
        <v>0.94178571428572155</v>
      </c>
    </row>
    <row r="17" spans="1:13" s="2" customFormat="1" ht="30" customHeight="1" thickBot="1">
      <c r="A17" s="134"/>
      <c r="B17" s="20">
        <v>12</v>
      </c>
      <c r="C17" s="166" t="s">
        <v>49</v>
      </c>
      <c r="D17" s="169">
        <v>7</v>
      </c>
      <c r="E17" s="170">
        <v>49.18</v>
      </c>
      <c r="F17" s="174">
        <f>(50.14+49.99+50.02+49.81+50.12+50.2+50.49+52.95+52.37+61.79+49.76+51.26+50.67+49.53+49.62+49.18+50.24+50.73+52.37+51.57+52.07+49.84+49.71+50.34+49.56+49.72+50.34+49.27+50.77+49.7+49.68+50.06+50.03+50.3+50.49+50.97+51.29+51.89)/38</f>
        <v>50.758947368421047</v>
      </c>
      <c r="G17" s="129">
        <v>404</v>
      </c>
      <c r="H17" s="131">
        <v>0.24864583333333334</v>
      </c>
      <c r="I17" s="131">
        <f t="shared" si="0"/>
        <v>2.3622685185185177E-2</v>
      </c>
      <c r="J17" s="132">
        <f t="shared" si="2"/>
        <v>6.3472222222222235E-2</v>
      </c>
      <c r="K17" s="165">
        <f t="shared" si="1"/>
        <v>1.5789473684210478</v>
      </c>
    </row>
    <row r="18" spans="1:13" s="2" customFormat="1" ht="30" customHeight="1">
      <c r="A18" s="134"/>
      <c r="B18" s="20">
        <v>13</v>
      </c>
      <c r="C18" s="166" t="s">
        <v>166</v>
      </c>
      <c r="D18" s="141">
        <v>14</v>
      </c>
      <c r="E18" s="171">
        <v>52.54</v>
      </c>
      <c r="F18" s="130">
        <f>(55.75+56.2+55+54.46+54.11+54.2+54.19+54.64+53.65+53.92+53.75+53.56+53.62+53.71+54.53+53.86+54.56+53.7+53.39+55.48+53.42+53.22+53.59+53.82+53.43+52.79+53.14+52.6+53.88+54.61+53.04+53.61+52.97+52.75+52.6+52.83+52.55+52.54+52.61+53.21)/40</f>
        <v>53.737249999999996</v>
      </c>
      <c r="G18" s="129">
        <v>446</v>
      </c>
      <c r="H18" s="131">
        <v>0.2774652777777778</v>
      </c>
      <c r="I18" s="131">
        <f t="shared" si="0"/>
        <v>2.8819444444444453E-2</v>
      </c>
      <c r="J18" s="132">
        <f t="shared" si="2"/>
        <v>9.3287037037037016E-2</v>
      </c>
      <c r="K18" s="165">
        <f t="shared" si="1"/>
        <v>1.1972499999999968</v>
      </c>
    </row>
    <row r="19" spans="1:13" s="2" customFormat="1" ht="30" customHeight="1">
      <c r="A19" s="134"/>
      <c r="B19" s="20">
        <v>14</v>
      </c>
      <c r="C19" s="166" t="s">
        <v>41</v>
      </c>
      <c r="D19" s="141">
        <v>21</v>
      </c>
      <c r="E19" s="167">
        <v>51.95</v>
      </c>
      <c r="F19" s="130">
        <f>(54.29+54.43+54.56+54.28+54.16+53.61+53.42+77.79+52.52+52.82+52.31+52.14+51.95+52.16)/14</f>
        <v>55.031428571428577</v>
      </c>
      <c r="G19" s="129">
        <v>461</v>
      </c>
      <c r="H19" s="131">
        <v>0.29053240740740743</v>
      </c>
      <c r="I19" s="131">
        <f t="shared" si="0"/>
        <v>1.3067129629629637E-2</v>
      </c>
      <c r="J19" s="132">
        <f t="shared" si="2"/>
        <v>8.1550925925925929E-2</v>
      </c>
      <c r="K19" s="165">
        <f t="shared" si="1"/>
        <v>3.0814285714285745</v>
      </c>
    </row>
    <row r="20" spans="1:13" s="2" customFormat="1" ht="30" customHeight="1">
      <c r="A20" s="134"/>
      <c r="B20" s="20">
        <v>15</v>
      </c>
      <c r="C20" s="166" t="s">
        <v>45</v>
      </c>
      <c r="D20" s="141">
        <v>2</v>
      </c>
      <c r="E20" s="167">
        <v>51.5</v>
      </c>
      <c r="F20" s="130">
        <f>(54.04+53.65+53.9+53.38+53.36+53.1+52.76+52.46+52.47+52.49+53.34+52.2+52.7+52.06+52.62+52.57+52.28+52.22+51.98+52.07+53.52+51.5+52.71+52.35+52.27+52.63+51.77)/27</f>
        <v>52.681481481481484</v>
      </c>
      <c r="G20" s="129">
        <v>489</v>
      </c>
      <c r="H20" s="131">
        <v>0.30835648148148148</v>
      </c>
      <c r="I20" s="131">
        <f t="shared" si="0"/>
        <v>1.7824074074074048E-2</v>
      </c>
      <c r="J20" s="132">
        <f t="shared" si="2"/>
        <v>7.0046296296296301E-2</v>
      </c>
      <c r="K20" s="165">
        <f t="shared" si="1"/>
        <v>1.1814814814814838</v>
      </c>
    </row>
    <row r="21" spans="1:13" s="2" customFormat="1" ht="30" customHeight="1">
      <c r="A21" s="134"/>
      <c r="B21" s="20">
        <v>16</v>
      </c>
      <c r="C21" s="166" t="s">
        <v>166</v>
      </c>
      <c r="D21" s="141">
        <v>7</v>
      </c>
      <c r="E21" s="167">
        <v>49.82</v>
      </c>
      <c r="F21" s="130">
        <f>(52.24+51.03+50.36+50.49+50.75+52.1+51.09+51.13+50.65+50.28+52.6+50.87+51.22+51.18+50.55+50.45+50.74+50.6+50.29+50.32+50.9+57.35+52.5+52.33+51.14+50.47+50.7+50.64+50.19+50.28+50.47+49.82+50.4+50.6+50.31+50.44+52.47+51.31)/38</f>
        <v>51.085789473684216</v>
      </c>
      <c r="G21" s="129">
        <v>528</v>
      </c>
      <c r="H21" s="131">
        <v>0.33218750000000002</v>
      </c>
      <c r="I21" s="131">
        <f t="shared" si="0"/>
        <v>2.3831018518518543E-2</v>
      </c>
      <c r="J21" s="132">
        <f>I21+J18</f>
        <v>0.11711805555555556</v>
      </c>
      <c r="K21" s="165">
        <f t="shared" si="1"/>
        <v>1.2657894736842152</v>
      </c>
    </row>
    <row r="22" spans="1:13" s="2" customFormat="1" ht="30" customHeight="1">
      <c r="A22" s="134"/>
      <c r="B22" s="20">
        <v>17</v>
      </c>
      <c r="C22" s="166" t="s">
        <v>45</v>
      </c>
      <c r="D22" s="141">
        <v>10</v>
      </c>
      <c r="E22" s="167">
        <v>48.89</v>
      </c>
      <c r="F22" s="130">
        <f>(50.55+50.85+50.14+50.1+50.07+51+50.02+49.56+50.11+51.22+50.99+50.91+49.51+49.97+49.67+49.49+49.41+50.23+49.46+49.18+50.2+48.89+49.29+49.4+49.93+49.49+50.36+49.77+49.83+50.89+51.4+49.95+50.15+50.01+50.69+51.12+49.69+49.73+49.57+49.03+49.82+50.71+51.99+49.82+49.64+49.46+49.69+50.91+50.41+50.93+50.26+49.83+49.65+49.66+49.46+49.2+51.1)/57</f>
        <v>50.076666666666654</v>
      </c>
      <c r="G22" s="129">
        <v>586</v>
      </c>
      <c r="H22" s="131">
        <v>0.36641203703703701</v>
      </c>
      <c r="I22" s="131">
        <f t="shared" si="0"/>
        <v>3.4224537037036984E-2</v>
      </c>
      <c r="J22" s="132">
        <f>I22+J20</f>
        <v>0.10427083333333328</v>
      </c>
      <c r="K22" s="165">
        <f t="shared" si="1"/>
        <v>1.1866666666666532</v>
      </c>
    </row>
    <row r="23" spans="1:13" s="2" customFormat="1" ht="30" customHeight="1">
      <c r="A23" s="134"/>
      <c r="B23" s="20">
        <v>18</v>
      </c>
      <c r="C23" s="166" t="s">
        <v>41</v>
      </c>
      <c r="D23" s="141">
        <v>1</v>
      </c>
      <c r="E23" s="167">
        <v>50.42</v>
      </c>
      <c r="F23" s="130">
        <f>(52.76+52.34+52.04+52.06+52.07+51.82+52.87+52.66+52.2+52.04+54.09+51.72+51.97+51.76+51.81+51.28+51.7+51.27+51.42+51.25+51.23+51.07+50.92+50.77+50.85+50.46+50.74+50.42+50.57+51.1+51.1+51.18)/32</f>
        <v>51.610624999999999</v>
      </c>
      <c r="G23" s="129">
        <v>620</v>
      </c>
      <c r="H23" s="131">
        <v>0.3888888888888889</v>
      </c>
      <c r="I23" s="131">
        <f t="shared" si="0"/>
        <v>2.2476851851851887E-2</v>
      </c>
      <c r="J23" s="132">
        <f>I23+J19</f>
        <v>0.10402777777777782</v>
      </c>
      <c r="K23" s="165">
        <f t="shared" si="1"/>
        <v>1.1906249999999972</v>
      </c>
    </row>
    <row r="24" spans="1:13" s="2" customFormat="1" ht="30" customHeight="1">
      <c r="A24" s="134"/>
      <c r="B24" s="20">
        <v>19</v>
      </c>
      <c r="C24" s="166" t="s">
        <v>49</v>
      </c>
      <c r="D24" s="141">
        <v>3</v>
      </c>
      <c r="E24" s="167">
        <v>49.71</v>
      </c>
      <c r="F24" s="130">
        <f>(51.05+50.71+50.69+51.18+54.05+50.13+50.89+51.42+50.29+51.14+51.05+51.15+50.56+50.69+51.36+50.13+50.33+50.53+50.27+50.37+50.43+50.38+50.28+50.84+50.2+50.05+50.32+51.48+50.48+51.67+50.82+50.22+50.45+50.52+50.73+50.62+50.71+49.96+50.07+50.62+50.21+50.14+50.3+50.93+50.46+50.74+50.81+51.13+50.6+49.71+50.58+51.8)/52</f>
        <v>50.697115384615373</v>
      </c>
      <c r="G24" s="129">
        <v>673</v>
      </c>
      <c r="H24" s="131">
        <v>0.42053240740740744</v>
      </c>
      <c r="I24" s="131">
        <f t="shared" si="0"/>
        <v>3.1643518518518543E-2</v>
      </c>
      <c r="J24" s="132">
        <f>I24+J17</f>
        <v>9.5115740740740778E-2</v>
      </c>
      <c r="K24" s="165">
        <f t="shared" si="1"/>
        <v>0.98711538461537174</v>
      </c>
    </row>
    <row r="25" spans="1:13" s="2" customFormat="1" ht="30" customHeight="1" thickBot="1">
      <c r="A25" s="134"/>
      <c r="B25" s="20">
        <v>20</v>
      </c>
      <c r="C25" s="166" t="s">
        <v>166</v>
      </c>
      <c r="D25" s="141">
        <v>15</v>
      </c>
      <c r="E25" s="168">
        <v>48.75</v>
      </c>
      <c r="F25" s="130">
        <f>(51.16+50.75+50.34+50.81+50.35+50.02+49.57+50.17+49.5+49.72+49.15+49.45+49.22+49.39+49.1+48.75+50.54+49.78+51.57+49.26+48.92+48.84+48.81+49.4+49.25+48.77+49.49+48.96)/28</f>
        <v>49.68</v>
      </c>
      <c r="G25" s="129">
        <v>702</v>
      </c>
      <c r="H25" s="131">
        <v>0.4378009259259259</v>
      </c>
      <c r="I25" s="131">
        <f t="shared" si="0"/>
        <v>1.7268518518518461E-2</v>
      </c>
      <c r="J25" s="132">
        <f>I25+J21</f>
        <v>0.13438657407407401</v>
      </c>
      <c r="K25" s="165">
        <f t="shared" si="1"/>
        <v>0.92999999999999972</v>
      </c>
    </row>
    <row r="26" spans="1:13" s="2" customFormat="1" ht="30" customHeight="1" thickBot="1">
      <c r="A26" s="134"/>
      <c r="B26" s="20">
        <v>21</v>
      </c>
      <c r="C26" s="166" t="s">
        <v>41</v>
      </c>
      <c r="D26" s="169">
        <v>6</v>
      </c>
      <c r="E26" s="170">
        <v>48.52</v>
      </c>
      <c r="F26" s="147">
        <f>(50.66+50.51+50.12+49.88+50.16+50.87+50.24+49.63+49.57+49.49+49.23+53.5+50.46+49.27+49.34+49.29+49.33+48.74+49.63+50.32+49.39+49.09+49.56+48.83+49.02+49.08+48.52+48.62+48.98+48.94+49.16+50.36+49.69+48.8+50.32)/35</f>
        <v>49.674285714285702</v>
      </c>
      <c r="G26" s="129">
        <v>738</v>
      </c>
      <c r="H26" s="131">
        <v>0.45910879629629631</v>
      </c>
      <c r="I26" s="131">
        <f t="shared" si="0"/>
        <v>2.1307870370370408E-2</v>
      </c>
      <c r="J26" s="132">
        <f>I26+J23</f>
        <v>0.12533564814814824</v>
      </c>
      <c r="K26" s="165">
        <f t="shared" si="1"/>
        <v>1.1542857142856988</v>
      </c>
    </row>
    <row r="27" spans="1:13" s="2" customFormat="1" ht="30" customHeight="1">
      <c r="A27" s="134"/>
      <c r="B27" s="20">
        <v>22</v>
      </c>
      <c r="C27" s="166" t="s">
        <v>45</v>
      </c>
      <c r="D27" s="141">
        <v>15</v>
      </c>
      <c r="E27" s="171">
        <v>49.19</v>
      </c>
      <c r="F27" s="130">
        <f>(49.9+49.48+50.27+49.44+49.34+49.52+50.72+53.78+49.2+49.19+49.46+49.76+49.53+50.35+50.35+49.79+49.24+49.25+50.02+49.99)/20</f>
        <v>49.928999999999995</v>
      </c>
      <c r="G27" s="129">
        <v>759</v>
      </c>
      <c r="H27" s="131">
        <v>0.47178240740740746</v>
      </c>
      <c r="I27" s="131">
        <f t="shared" si="0"/>
        <v>1.2673611111111149E-2</v>
      </c>
      <c r="J27" s="132">
        <f>I27+J22</f>
        <v>0.11694444444444443</v>
      </c>
      <c r="K27" s="165">
        <f t="shared" si="1"/>
        <v>0.73899999999999721</v>
      </c>
      <c r="M27" s="175" t="s">
        <v>167</v>
      </c>
    </row>
    <row r="28" spans="1:13" s="2" customFormat="1" ht="30" customHeight="1" thickBot="1">
      <c r="A28" s="134"/>
      <c r="B28" s="20">
        <v>23</v>
      </c>
      <c r="C28" s="166" t="s">
        <v>49</v>
      </c>
      <c r="D28" s="141">
        <v>1</v>
      </c>
      <c r="E28" s="168">
        <v>49.29</v>
      </c>
      <c r="F28" s="130">
        <f>(49.87+50.41+50.36+49.79+49.65+50.11+50.3+51.91+51.42+50.76+56.2+51.36+61.43+50.73+50.53+51.33+50.33+50.41+50.49+50.65+50.24+50.03+50.07+52.82+50.02+50.76+49.35+49.63+51.71+52+49.69+49.17+49.53+49.29+49.86+49.74)/36</f>
        <v>50.887499999999996</v>
      </c>
      <c r="G28" s="129">
        <v>796</v>
      </c>
      <c r="H28" s="131">
        <v>0.49428240740740742</v>
      </c>
      <c r="I28" s="131">
        <f t="shared" si="0"/>
        <v>2.2499999999999964E-2</v>
      </c>
      <c r="J28" s="146">
        <f>I28+J24</f>
        <v>0.11761574074074074</v>
      </c>
      <c r="K28" s="165">
        <f t="shared" si="1"/>
        <v>1.5974999999999966</v>
      </c>
      <c r="M28" s="133">
        <f>AVERAGE(K28,K24,K17,K13,K9)</f>
        <v>1.2839372110043583</v>
      </c>
    </row>
    <row r="29" spans="1:13" s="2" customFormat="1" ht="30" customHeight="1" thickBot="1">
      <c r="A29" s="134"/>
      <c r="B29" s="20">
        <v>24</v>
      </c>
      <c r="C29" s="166" t="s">
        <v>45</v>
      </c>
      <c r="D29" s="169">
        <v>88</v>
      </c>
      <c r="E29" s="148">
        <v>48.26</v>
      </c>
      <c r="F29" s="147">
        <f>(50.71+51.32+52.05+50.1+51.2+50.47+49.84+50.12+50.5+49.85+49.57+49.77+49.44+49.45+48.87+48.78+48.26+48.85+49.61+49.38+48.84+49+50.44+48.87+49.15+48.39)/26</f>
        <v>49.724230769230772</v>
      </c>
      <c r="G29" s="176">
        <v>824</v>
      </c>
      <c r="H29" s="131">
        <v>0.5113657407407407</v>
      </c>
      <c r="I29" s="131">
        <f t="shared" si="0"/>
        <v>1.7083333333333284E-2</v>
      </c>
      <c r="J29" s="150">
        <f>I29+J27</f>
        <v>0.13402777777777772</v>
      </c>
      <c r="K29" s="165">
        <f t="shared" si="1"/>
        <v>1.4642307692307739</v>
      </c>
      <c r="M29" s="177">
        <f>(K29+K27+K22+K20+K16+K12+K8)/7</f>
        <v>1.1221375538969534</v>
      </c>
    </row>
    <row r="30" spans="1:13" s="2" customFormat="1" ht="30" customHeight="1">
      <c r="A30" s="134"/>
      <c r="B30" s="20">
        <v>25</v>
      </c>
      <c r="C30" s="166" t="s">
        <v>166</v>
      </c>
      <c r="D30" s="141">
        <v>5</v>
      </c>
      <c r="E30" s="178">
        <v>48.87</v>
      </c>
      <c r="F30" s="179">
        <f>(50.1+50.1+49.72+49.6+51.98+49.63+49.26+49.11+49.37+49.08+49.64+49.18+48.87+49.24+49.12+49.2+49.12+49.36+49.2)/19</f>
        <v>49.52</v>
      </c>
      <c r="G30" s="129">
        <v>844</v>
      </c>
      <c r="H30" s="131">
        <v>0.52362268518518518</v>
      </c>
      <c r="I30" s="131">
        <f>H30-H29</f>
        <v>1.2256944444444473E-2</v>
      </c>
      <c r="J30" s="154">
        <f>I30+J25</f>
        <v>0.14664351851851848</v>
      </c>
      <c r="K30" s="180">
        <f t="shared" si="1"/>
        <v>0.65000000000000568</v>
      </c>
      <c r="M30" s="133">
        <f>(K30+K25+K21+K18+K14+K10+K6)/7</f>
        <v>1.2535420704083731</v>
      </c>
    </row>
    <row r="31" spans="1:13" s="2" customFormat="1" ht="30" customHeight="1" thickBot="1">
      <c r="A31" s="152"/>
      <c r="B31" s="26" t="s">
        <v>162</v>
      </c>
      <c r="C31" s="181" t="s">
        <v>41</v>
      </c>
      <c r="D31" s="182">
        <v>10</v>
      </c>
      <c r="E31" s="183">
        <v>49.04</v>
      </c>
      <c r="F31" s="184">
        <f>(52.41+51.88+52.31+50.78+50.35+50.56+50.17+49.46+57.54+49.67+49.04+49.66+49.85+49.82+50.03+50.12+49.31+49.47+50.59+51.6+52.04+51.55+52.01+52.08+51.36+51.24+50.63+50.64)/28</f>
        <v>50.934642857142862</v>
      </c>
      <c r="G31" s="183">
        <v>874</v>
      </c>
      <c r="H31" s="185">
        <v>0.54200231481481487</v>
      </c>
      <c r="I31" s="185">
        <f t="shared" si="0"/>
        <v>1.837962962962969E-2</v>
      </c>
      <c r="J31" s="186">
        <f>I31+J26</f>
        <v>0.14371527777777793</v>
      </c>
      <c r="K31" s="165">
        <f t="shared" si="1"/>
        <v>1.8946428571428626</v>
      </c>
      <c r="M31" s="133">
        <f>(K31+K26+K23+K19+K15+K11+K7)/7</f>
        <v>1.5812486805066865</v>
      </c>
    </row>
    <row r="32" spans="1:13">
      <c r="D32" s="1" t="s">
        <v>168</v>
      </c>
      <c r="E32" s="155">
        <f>AVERAGE(E6:E31)</f>
        <v>49.91538461538461</v>
      </c>
      <c r="F32" s="155">
        <f>AVERAGE(F6:F31)</f>
        <v>51.22762246879639</v>
      </c>
    </row>
  </sheetData>
  <mergeCells count="12">
    <mergeCell ref="I4:J4"/>
    <mergeCell ref="A6:A31"/>
    <mergeCell ref="A1:J1"/>
    <mergeCell ref="A3:J3"/>
    <mergeCell ref="A4:A5"/>
    <mergeCell ref="B4:B5"/>
    <mergeCell ref="C4:C5"/>
    <mergeCell ref="D4:D5"/>
    <mergeCell ref="E4:E5"/>
    <mergeCell ref="F4:F5"/>
    <mergeCell ref="G4:G5"/>
    <mergeCell ref="H4:H5"/>
  </mergeCells>
  <pageMargins left="0.31496062992125984" right="0.31496062992125984" top="0.55118110236220474" bottom="0.11811023622047245" header="0.31496062992125984" footer="0.31496062992125984"/>
  <pageSetup paperSize="9" scale="93" orientation="portrait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32"/>
  <sheetViews>
    <sheetView topLeftCell="A15" zoomScale="75" zoomScaleNormal="75" workbookViewId="0">
      <selection activeCell="F29" sqref="F29"/>
    </sheetView>
  </sheetViews>
  <sheetFormatPr defaultRowHeight="15"/>
  <cols>
    <col min="1" max="1" width="10.5703125" customWidth="1"/>
    <col min="2" max="2" width="7.28515625" customWidth="1"/>
    <col min="3" max="3" width="20.85546875" bestFit="1" customWidth="1"/>
    <col min="4" max="5" width="8.85546875" style="1" customWidth="1"/>
    <col min="6" max="6" width="17" style="1" customWidth="1"/>
    <col min="7" max="7" width="9.42578125" style="1" customWidth="1"/>
    <col min="8" max="8" width="18.5703125" style="1" customWidth="1"/>
    <col min="9" max="9" width="12.85546875" style="1" customWidth="1"/>
    <col min="10" max="10" width="17.5703125" style="1" customWidth="1"/>
    <col min="11" max="11" width="6.7109375" style="156" customWidth="1"/>
  </cols>
  <sheetData>
    <row r="1" spans="1:11" ht="19.5">
      <c r="A1" s="94" t="s">
        <v>146</v>
      </c>
      <c r="B1" s="94"/>
      <c r="C1" s="94"/>
      <c r="D1" s="94"/>
      <c r="E1" s="94"/>
      <c r="F1" s="94"/>
      <c r="G1" s="94"/>
      <c r="H1" s="94"/>
      <c r="I1" s="94"/>
      <c r="J1" s="94"/>
    </row>
    <row r="2" spans="1:11" ht="10.5" customHeight="1"/>
    <row r="3" spans="1:11" ht="15.75" customHeight="1" thickBot="1">
      <c r="A3" s="95" t="s">
        <v>147</v>
      </c>
      <c r="B3" s="95"/>
      <c r="C3" s="95"/>
      <c r="D3" s="95"/>
      <c r="E3" s="95"/>
      <c r="F3" s="95"/>
      <c r="G3" s="95"/>
      <c r="H3" s="95"/>
      <c r="I3" s="95"/>
      <c r="J3" s="95"/>
    </row>
    <row r="4" spans="1:11" s="1" customFormat="1" ht="25.5" customHeight="1">
      <c r="A4" s="114" t="s">
        <v>148</v>
      </c>
      <c r="B4" s="115" t="s">
        <v>149</v>
      </c>
      <c r="C4" s="115" t="s">
        <v>32</v>
      </c>
      <c r="D4" s="116" t="s">
        <v>150</v>
      </c>
      <c r="E4" s="117" t="s">
        <v>151</v>
      </c>
      <c r="F4" s="118" t="s">
        <v>152</v>
      </c>
      <c r="G4" s="115" t="s">
        <v>153</v>
      </c>
      <c r="H4" s="115" t="s">
        <v>154</v>
      </c>
      <c r="I4" s="96" t="s">
        <v>155</v>
      </c>
      <c r="J4" s="119"/>
      <c r="K4" s="157"/>
    </row>
    <row r="5" spans="1:11" s="1" customFormat="1" ht="22.5" customHeight="1" thickBot="1">
      <c r="A5" s="120"/>
      <c r="B5" s="121"/>
      <c r="C5" s="121"/>
      <c r="D5" s="122"/>
      <c r="E5" s="123"/>
      <c r="F5" s="124"/>
      <c r="G5" s="121"/>
      <c r="H5" s="121"/>
      <c r="I5" s="125" t="s">
        <v>156</v>
      </c>
      <c r="J5" s="125" t="s">
        <v>157</v>
      </c>
      <c r="K5" s="187" t="s">
        <v>169</v>
      </c>
    </row>
    <row r="6" spans="1:11" s="2" customFormat="1" ht="30" customHeight="1">
      <c r="A6" s="127" t="s">
        <v>89</v>
      </c>
      <c r="B6" s="128">
        <v>1</v>
      </c>
      <c r="C6" s="129" t="s">
        <v>90</v>
      </c>
      <c r="D6" s="129">
        <v>5</v>
      </c>
      <c r="E6" s="129">
        <v>53.27</v>
      </c>
      <c r="F6" s="130">
        <f>(57.52+56.02+56.47+55.41+55.15+54.74+54.7+54.24+54.12+53.46+54.06+54.18+53.28+53.27+53.75+53.71+53.27+53.7+53.8)/19</f>
        <v>54.465789473684218</v>
      </c>
      <c r="G6" s="129">
        <v>19</v>
      </c>
      <c r="H6" s="131">
        <v>1.2037037037037035E-2</v>
      </c>
      <c r="I6" s="131">
        <f>H6</f>
        <v>1.2037037037037035E-2</v>
      </c>
      <c r="J6" s="132">
        <f>I6</f>
        <v>1.2037037037037035E-2</v>
      </c>
      <c r="K6" s="165">
        <f>F6-E6</f>
        <v>1.195789473684215</v>
      </c>
    </row>
    <row r="7" spans="1:11" s="2" customFormat="1" ht="30" customHeight="1">
      <c r="A7" s="134"/>
      <c r="B7" s="135">
        <v>2</v>
      </c>
      <c r="C7" s="129" t="s">
        <v>94</v>
      </c>
      <c r="D7" s="129">
        <v>13</v>
      </c>
      <c r="E7" s="129">
        <v>51.48</v>
      </c>
      <c r="F7" s="130">
        <f>(52.94+53.17+53.68+53.01+53.44+52.9+53.73+53+53.15+52.51+52.34+53.57+52.74+53.09+52.34+52.16+52.85+51.99+54.2+52.56+52.43+52.43+51.49+52.18+52.01+51.82+51.48+51.7+51.92)/29</f>
        <v>52.649310344827597</v>
      </c>
      <c r="G7" s="129">
        <v>49</v>
      </c>
      <c r="H7" s="131">
        <v>3.1111111111111107E-2</v>
      </c>
      <c r="I7" s="131">
        <f t="shared" ref="I7:I31" si="0">H7-H6</f>
        <v>1.907407407407407E-2</v>
      </c>
      <c r="J7" s="132">
        <f>I7</f>
        <v>1.907407407407407E-2</v>
      </c>
      <c r="K7" s="165">
        <f t="shared" ref="K7:K31" si="1">F7-E7</f>
        <v>1.1693103448276005</v>
      </c>
    </row>
    <row r="8" spans="1:11" s="2" customFormat="1" ht="30" customHeight="1">
      <c r="A8" s="134"/>
      <c r="B8" s="135">
        <v>3</v>
      </c>
      <c r="C8" s="129" t="s">
        <v>98</v>
      </c>
      <c r="D8" s="129">
        <v>88</v>
      </c>
      <c r="E8" s="129">
        <v>50.93</v>
      </c>
      <c r="F8" s="130">
        <f>(52.93+52.2+52.51+51.83+51.61+52.09+52.05+52.06+51.87+52.84+52.15+51.66+51.65+53.28+52.42+52.45+51.66+52+51.35+51.74+52.39+52.89+52.09+51.99+54.88+51.67+51.43+51.99+51.52+51.12+51.82+51.68+51.11+51.07+52.55+52.47+51.16+51.56+51.43+50.93+50.92+53.58+52.71+51.52+52.13+52.19+53.93+54.67+51.56+51.83+51.47+52.37)/52</f>
        <v>52.095769230769221</v>
      </c>
      <c r="G8" s="129">
        <v>102</v>
      </c>
      <c r="H8" s="131">
        <v>6.3784722222222215E-2</v>
      </c>
      <c r="I8" s="131">
        <f t="shared" si="0"/>
        <v>3.2673611111111112E-2</v>
      </c>
      <c r="J8" s="132">
        <f>I8</f>
        <v>3.2673611111111112E-2</v>
      </c>
      <c r="K8" s="165">
        <f t="shared" si="1"/>
        <v>1.1657692307692216</v>
      </c>
    </row>
    <row r="9" spans="1:11" s="2" customFormat="1" ht="30" customHeight="1">
      <c r="A9" s="134"/>
      <c r="B9" s="135">
        <v>4</v>
      </c>
      <c r="C9" s="129" t="s">
        <v>102</v>
      </c>
      <c r="D9" s="129">
        <v>10</v>
      </c>
      <c r="E9" s="129">
        <v>51.06</v>
      </c>
      <c r="F9" s="130">
        <f>(52.21+52.97+52.98+53.24+53.12+53.36+52.26+52.35+52+53.06+52.75+52.75+53.09+52.2+52.26+51.93+52.03+52.24+52.57+52.6+51.78+51.39+51.59+51.65+51.17+53.54+51.39+52.31+51.84+51.79+51.06+52.94+51.24+51.95+52.74+51.8+51.44+51.19+51.17+51.47+53+52.34+52.5+51.26+51.31+53.5)/46</f>
        <v>52.202826086956527</v>
      </c>
      <c r="G9" s="129">
        <v>149</v>
      </c>
      <c r="H9" s="131">
        <v>9.2951388888888889E-2</v>
      </c>
      <c r="I9" s="131">
        <f t="shared" si="0"/>
        <v>2.9166666666666674E-2</v>
      </c>
      <c r="J9" s="132">
        <f>I9</f>
        <v>2.9166666666666674E-2</v>
      </c>
      <c r="K9" s="165">
        <f t="shared" si="1"/>
        <v>1.142826086956525</v>
      </c>
    </row>
    <row r="10" spans="1:11" s="2" customFormat="1" ht="30" customHeight="1">
      <c r="A10" s="134"/>
      <c r="B10" s="135">
        <v>5</v>
      </c>
      <c r="C10" s="129" t="s">
        <v>90</v>
      </c>
      <c r="D10" s="129">
        <v>21</v>
      </c>
      <c r="E10" s="129">
        <v>52.33</v>
      </c>
      <c r="F10" s="130">
        <f>(52.73+52.33+52.75+52.76+52.94+55.01+63.06+53.01+52.89+52.6+53+52.73+52.93+53.74+53.06)/15</f>
        <v>53.702666666666666</v>
      </c>
      <c r="G10" s="129">
        <v>165</v>
      </c>
      <c r="H10" s="131">
        <v>0.10359953703703705</v>
      </c>
      <c r="I10" s="131">
        <f t="shared" si="0"/>
        <v>1.0648148148148157E-2</v>
      </c>
      <c r="J10" s="132">
        <f>I10+J6</f>
        <v>2.268518518518519E-2</v>
      </c>
      <c r="K10" s="165">
        <f t="shared" si="1"/>
        <v>1.3726666666666674</v>
      </c>
    </row>
    <row r="11" spans="1:11" s="2" customFormat="1" ht="30" customHeight="1">
      <c r="A11" s="134"/>
      <c r="B11" s="135">
        <v>6</v>
      </c>
      <c r="C11" s="129" t="s">
        <v>138</v>
      </c>
      <c r="D11" s="129">
        <v>13</v>
      </c>
      <c r="E11" s="129">
        <v>52.34</v>
      </c>
      <c r="F11" s="130">
        <f>(55.45+54.34+54.59+54.27+53.59+53.79+53.44+53.44+53.34+53+52.7+52.64+53.01+53.97+54.73+53.89+52.99+52.51+52.44+52.46+52.41+52.98+52.34+53.12+54.99+53.22+52.7+53.6+52.62+52.41+52.55+53.56)/32</f>
        <v>53.346562499999997</v>
      </c>
      <c r="G11" s="129">
        <v>198</v>
      </c>
      <c r="H11" s="131">
        <v>0.12473379629629629</v>
      </c>
      <c r="I11" s="131">
        <f t="shared" si="0"/>
        <v>2.1134259259259242E-2</v>
      </c>
      <c r="J11" s="132">
        <f>I11</f>
        <v>2.1134259259259242E-2</v>
      </c>
      <c r="K11" s="165">
        <f t="shared" si="1"/>
        <v>1.006562499999994</v>
      </c>
    </row>
    <row r="12" spans="1:11" s="2" customFormat="1" ht="30" customHeight="1" thickBot="1">
      <c r="A12" s="134"/>
      <c r="B12" s="135">
        <v>7</v>
      </c>
      <c r="C12" s="129" t="s">
        <v>94</v>
      </c>
      <c r="D12" s="129">
        <v>3</v>
      </c>
      <c r="E12" s="136">
        <v>48.78</v>
      </c>
      <c r="F12" s="130">
        <f>(53.35+52.03+52.05+52.05+52.18+51.63+52.31+51.25+63.67+51.7+51.23+50.68+51.64+51.31+50.74+50.48+51.05+51.1+50.04+50.39+50.69+49.92+50.64+50.34+53.2+50.11+50.51+61.18+50.16+50.17+49.67+50.2+49.92+49.79+50.3+50.54+50.39+50.08+49.73+49.57+49.62+49.27+49.83+49.52+51.6+50.34+50.6+50.28+49.65+49.16+49.19+48.84+48.93+49.17+49.76+48.78+49.95)/57</f>
        <v>50.920701754385973</v>
      </c>
      <c r="G12" s="129">
        <v>256</v>
      </c>
      <c r="H12" s="131">
        <v>0.15969907407407408</v>
      </c>
      <c r="I12" s="131">
        <f t="shared" si="0"/>
        <v>3.496527777777779E-2</v>
      </c>
      <c r="J12" s="132">
        <f>I12+J7</f>
        <v>5.4039351851851859E-2</v>
      </c>
      <c r="K12" s="165">
        <f t="shared" si="1"/>
        <v>2.1407017543859723</v>
      </c>
    </row>
    <row r="13" spans="1:11" s="2" customFormat="1" ht="30" customHeight="1" thickBot="1">
      <c r="A13" s="134"/>
      <c r="B13" s="135">
        <v>8</v>
      </c>
      <c r="C13" s="129" t="s">
        <v>98</v>
      </c>
      <c r="D13" s="58">
        <v>7</v>
      </c>
      <c r="E13" s="137">
        <v>48.23</v>
      </c>
      <c r="F13" s="147">
        <f>(50.17+50.42+50.88+51.12+49.43+50.11+50.04+50.03+49.6+49.12+49.7+49.61+48.94+49.12+48.89+50.61+49.04+50.28+49.73+49.18+48.77+48.73+48.51+48.93+48.67+48.84+49.41+48.97+48.35+52.13+49.44+48.96+49.01+48.61+49.32+48.65+48.23+48.29+48.97+49.08+48.84+48.92+53.3+48.83+48.36+48.51+48.54+48.77+48.48+49.23)/50</f>
        <v>49.353400000000008</v>
      </c>
      <c r="G13" s="129">
        <v>307</v>
      </c>
      <c r="H13" s="131">
        <v>0.18957175925925926</v>
      </c>
      <c r="I13" s="131">
        <f t="shared" si="0"/>
        <v>2.9872685185185183E-2</v>
      </c>
      <c r="J13" s="132">
        <f>I13+J8</f>
        <v>6.2546296296296294E-2</v>
      </c>
      <c r="K13" s="165">
        <f t="shared" si="1"/>
        <v>1.1234000000000108</v>
      </c>
    </row>
    <row r="14" spans="1:11" s="2" customFormat="1" ht="30" customHeight="1" thickBot="1">
      <c r="A14" s="134"/>
      <c r="B14" s="135">
        <v>9</v>
      </c>
      <c r="C14" s="129" t="s">
        <v>138</v>
      </c>
      <c r="D14" s="129">
        <v>15</v>
      </c>
      <c r="E14" s="188">
        <v>50.39</v>
      </c>
      <c r="F14" s="172">
        <f>(51.27+51.69+51.05+51.25+51.46+51.58+50.75+50.97+50.53+51.52+52.32+52.45+52.68+50.99+51.26+51.19+60.39+51.41+60.07+50.64+50.39+50.67+50.62+51.81+50.68+50.91+51.32)/27</f>
        <v>51.921111111111117</v>
      </c>
      <c r="G14" s="129">
        <v>335</v>
      </c>
      <c r="H14" s="131">
        <v>0.20716435185185186</v>
      </c>
      <c r="I14" s="131">
        <f t="shared" si="0"/>
        <v>1.7592592592592604E-2</v>
      </c>
      <c r="J14" s="132">
        <f>I14+J11</f>
        <v>3.8726851851851846E-2</v>
      </c>
      <c r="K14" s="165">
        <f t="shared" si="1"/>
        <v>1.531111111111116</v>
      </c>
    </row>
    <row r="15" spans="1:11" s="2" customFormat="1" ht="30" customHeight="1" thickBot="1">
      <c r="A15" s="134"/>
      <c r="B15" s="135">
        <v>10</v>
      </c>
      <c r="C15" s="129" t="s">
        <v>90</v>
      </c>
      <c r="D15" s="58">
        <v>7</v>
      </c>
      <c r="E15" s="148">
        <v>48.1</v>
      </c>
      <c r="F15" s="140">
        <f>(48.64+50.97+49.29+48.58+49.16+52.02+50.63+48.6+48.1+48.57+48.29+48.64+49.38+49.74+48.73+48.36+48.69+48.49+48.3)/19</f>
        <v>49.114736842105266</v>
      </c>
      <c r="G15" s="141">
        <v>355</v>
      </c>
      <c r="H15" s="131">
        <v>0.2192361111111111</v>
      </c>
      <c r="I15" s="131">
        <f t="shared" si="0"/>
        <v>1.207175925925924E-2</v>
      </c>
      <c r="J15" s="132">
        <f>I15+J10</f>
        <v>3.4756944444444431E-2</v>
      </c>
      <c r="K15" s="165">
        <f t="shared" si="1"/>
        <v>1.0147368421052647</v>
      </c>
    </row>
    <row r="16" spans="1:11" s="2" customFormat="1" ht="30" customHeight="1" thickBot="1">
      <c r="A16" s="134"/>
      <c r="B16" s="135">
        <v>11</v>
      </c>
      <c r="C16" s="129" t="s">
        <v>138</v>
      </c>
      <c r="D16" s="58">
        <v>13</v>
      </c>
      <c r="E16" s="137">
        <v>49.81</v>
      </c>
      <c r="F16" s="174">
        <f>(50.73+50.57+50.58+49.99+50.56+50.34+50.23+50.2+49.99+50.04+50.39+50.39+49.95+50.39+50.08+50.62+50.44+49.81+50.04+52.87+53.26+50.48+50.41+50.32+50.34+49.97+51.28+50.73+52.64)/29</f>
        <v>50.608275862068972</v>
      </c>
      <c r="G16" s="129">
        <v>385</v>
      </c>
      <c r="H16" s="131">
        <v>0.23760416666666664</v>
      </c>
      <c r="I16" s="131">
        <f t="shared" si="0"/>
        <v>1.836805555555554E-2</v>
      </c>
      <c r="J16" s="132">
        <f>I16+J14</f>
        <v>5.7094907407407386E-2</v>
      </c>
      <c r="K16" s="165">
        <f t="shared" si="1"/>
        <v>0.79827586206896939</v>
      </c>
    </row>
    <row r="17" spans="1:13" s="2" customFormat="1" ht="30" customHeight="1" thickBot="1">
      <c r="A17" s="134"/>
      <c r="B17" s="135">
        <v>12</v>
      </c>
      <c r="C17" s="129" t="s">
        <v>102</v>
      </c>
      <c r="D17" s="58">
        <v>3</v>
      </c>
      <c r="E17" s="137">
        <v>49.24</v>
      </c>
      <c r="F17" s="147">
        <f>(50.4+50.03+49.42+49.5+49.43+49.66+49.76+49.68+50.08+49.93+49.24+49.72+50.15+50.75+51.05+51.26+51.84+53.61+53.05+55.55+55.11+53.58+53.77+53.12+52.83+54.42+53.61+53.04)/28</f>
        <v>51.556785714285695</v>
      </c>
      <c r="G17" s="129">
        <v>414</v>
      </c>
      <c r="H17" s="131">
        <v>0.25563657407407409</v>
      </c>
      <c r="I17" s="131">
        <f t="shared" si="0"/>
        <v>1.8032407407407441E-2</v>
      </c>
      <c r="J17" s="132">
        <f>I17+J9</f>
        <v>4.7199074074074115E-2</v>
      </c>
      <c r="K17" s="165">
        <f t="shared" si="1"/>
        <v>2.3167857142856931</v>
      </c>
    </row>
    <row r="18" spans="1:13" s="2" customFormat="1" ht="30" customHeight="1">
      <c r="A18" s="134"/>
      <c r="B18" s="135">
        <v>13</v>
      </c>
      <c r="C18" s="129" t="s">
        <v>94</v>
      </c>
      <c r="D18" s="129">
        <v>7</v>
      </c>
      <c r="E18" s="145">
        <v>53.14</v>
      </c>
      <c r="F18" s="130">
        <f>(53.71+54.54+54.17+53.58+53.27+53.79+53.89+53.52+54.93+55.29+55.19+54.39+54.47+53.16+54.88+53.14+53.39)/17</f>
        <v>54.077058823529399</v>
      </c>
      <c r="G18" s="129">
        <v>432</v>
      </c>
      <c r="H18" s="131">
        <v>0.26762731481481483</v>
      </c>
      <c r="I18" s="131">
        <f t="shared" si="0"/>
        <v>1.1990740740740746E-2</v>
      </c>
      <c r="J18" s="132">
        <f>I18+J12</f>
        <v>6.6030092592592599E-2</v>
      </c>
      <c r="K18" s="165">
        <f t="shared" si="1"/>
        <v>0.93705882352939796</v>
      </c>
    </row>
    <row r="19" spans="1:13" s="2" customFormat="1" ht="30" customHeight="1">
      <c r="A19" s="134"/>
      <c r="B19" s="135">
        <v>14</v>
      </c>
      <c r="C19" s="129" t="s">
        <v>102</v>
      </c>
      <c r="D19" s="129">
        <v>2</v>
      </c>
      <c r="E19" s="189">
        <v>53.74</v>
      </c>
      <c r="F19" s="179">
        <f>(55.1+55.08+55.96+54.94+54.07+54.01+53.89+54.15+54.62+53.92+53.74+54.05+53.96+53.98+54.03)/15</f>
        <v>54.366666666666667</v>
      </c>
      <c r="G19" s="129">
        <v>449</v>
      </c>
      <c r="H19" s="131">
        <v>0.28122685185185187</v>
      </c>
      <c r="I19" s="131">
        <f t="shared" si="0"/>
        <v>1.3599537037037035E-2</v>
      </c>
      <c r="J19" s="132">
        <f>I19+J17</f>
        <v>6.079861111111115E-2</v>
      </c>
      <c r="K19" s="180">
        <f t="shared" si="1"/>
        <v>0.62666666666666515</v>
      </c>
    </row>
    <row r="20" spans="1:13" s="2" customFormat="1" ht="30" customHeight="1">
      <c r="A20" s="134"/>
      <c r="B20" s="135">
        <v>15</v>
      </c>
      <c r="C20" s="129" t="s">
        <v>90</v>
      </c>
      <c r="D20" s="129">
        <v>14</v>
      </c>
      <c r="E20" s="129">
        <v>50.76</v>
      </c>
      <c r="F20" s="130">
        <f>(54.15+53.19+52.32+51.22+51.46+51.91+51.75+51.5+51.56+51.41+51.8+52.78+53.09+51.25+50.76+50.9+51.17+51.61+51.41+51.1+50.81+51.05)/22</f>
        <v>51.736363636363627</v>
      </c>
      <c r="G20" s="129">
        <v>472</v>
      </c>
      <c r="H20" s="131">
        <v>0.29582175925925924</v>
      </c>
      <c r="I20" s="131">
        <f t="shared" si="0"/>
        <v>1.4594907407407376E-2</v>
      </c>
      <c r="J20" s="132">
        <f>I20+J15</f>
        <v>4.9351851851851807E-2</v>
      </c>
      <c r="K20" s="165">
        <f t="shared" si="1"/>
        <v>0.97636363636362944</v>
      </c>
    </row>
    <row r="21" spans="1:13" s="2" customFormat="1" ht="30" customHeight="1">
      <c r="A21" s="134"/>
      <c r="B21" s="135">
        <v>16</v>
      </c>
      <c r="C21" s="129" t="s">
        <v>98</v>
      </c>
      <c r="D21" s="129">
        <v>11</v>
      </c>
      <c r="E21" s="129">
        <v>49.9</v>
      </c>
      <c r="F21" s="130">
        <f>(51.18+51.13+50.81+51.01+50.8+51.67+51.48+50.37+50.16+49.95+50.29+50.58+50.17+50.1+51.3+52.2+51.05+51.33+50.96+50.7+50.16+50.38+49.9+51)/24</f>
        <v>50.778333333333343</v>
      </c>
      <c r="G21" s="129">
        <v>497</v>
      </c>
      <c r="H21" s="131">
        <v>0.31124999999999997</v>
      </c>
      <c r="I21" s="131">
        <f t="shared" si="0"/>
        <v>1.5428240740740728E-2</v>
      </c>
      <c r="J21" s="132">
        <f>I21+J13</f>
        <v>7.7974537037037023E-2</v>
      </c>
      <c r="K21" s="165">
        <f t="shared" si="1"/>
        <v>0.87833333333334451</v>
      </c>
    </row>
    <row r="22" spans="1:13" s="2" customFormat="1" ht="30" customHeight="1">
      <c r="A22" s="134"/>
      <c r="B22" s="135">
        <v>17</v>
      </c>
      <c r="C22" s="129" t="s">
        <v>138</v>
      </c>
      <c r="D22" s="129">
        <v>10</v>
      </c>
      <c r="E22" s="129">
        <v>50.67</v>
      </c>
      <c r="F22" s="130">
        <f>(53.53+51.94+51.16+51.8+51.33+53.13+52.83+52.48+51.33+50.94+51.29+50.82+51.11+51.22+51.55+50.67+51.54+52.81)/18</f>
        <v>51.748888888888892</v>
      </c>
      <c r="G22" s="129">
        <v>516</v>
      </c>
      <c r="H22" s="131">
        <v>0.32341435185185186</v>
      </c>
      <c r="I22" s="131">
        <f t="shared" si="0"/>
        <v>1.2164351851851885E-2</v>
      </c>
      <c r="J22" s="132">
        <f>I22+J16</f>
        <v>6.925925925925927E-2</v>
      </c>
      <c r="K22" s="165">
        <f t="shared" si="1"/>
        <v>1.0788888888888906</v>
      </c>
    </row>
    <row r="23" spans="1:13" s="2" customFormat="1" ht="30" customHeight="1">
      <c r="A23" s="134"/>
      <c r="B23" s="135">
        <v>18</v>
      </c>
      <c r="C23" s="129" t="s">
        <v>94</v>
      </c>
      <c r="D23" s="129">
        <v>3</v>
      </c>
      <c r="E23" s="129">
        <v>49.28</v>
      </c>
      <c r="F23" s="130">
        <f>(50.61+51.53+50.33+50.44+50.37+50.38+50.18+50.31+49.9+50.13+50.05+50.37+50.03+50.59+50.59+49.67+50.33+52.34+50.82+49.92+49.56+49.85+51.59+49.58+49.94+50.6+49.94+50.27+49.79+49.59+49.75+49.38+49.28+49.35+50.6+49.3+49.43+49.9+49.88+49.89)/40</f>
        <v>50.158999999999999</v>
      </c>
      <c r="G23" s="129">
        <v>557</v>
      </c>
      <c r="H23" s="131">
        <v>0.34796296296296297</v>
      </c>
      <c r="I23" s="131">
        <f t="shared" si="0"/>
        <v>2.4548611111111118E-2</v>
      </c>
      <c r="J23" s="132">
        <f>I23+J18</f>
        <v>9.0578703703703717E-2</v>
      </c>
      <c r="K23" s="165">
        <f t="shared" si="1"/>
        <v>0.87899999999999778</v>
      </c>
    </row>
    <row r="24" spans="1:13" s="2" customFormat="1" ht="30" customHeight="1">
      <c r="A24" s="134"/>
      <c r="B24" s="135">
        <v>19</v>
      </c>
      <c r="C24" s="129" t="s">
        <v>138</v>
      </c>
      <c r="D24" s="129">
        <v>1</v>
      </c>
      <c r="E24" s="129">
        <v>50.35</v>
      </c>
      <c r="F24" s="130">
        <f>(52.79+52.7+52.25+51.73+51.7+50.91+51.79+50.35+51.18+51.27+51.26+51.75+54.34+51.96+54+53.31+50.9+51.34+51.76+51.47+51.07+50.92+51.29+51.67+51.38+51.14+51.25+51.13+56.71+51.78)/30</f>
        <v>51.90333333333335</v>
      </c>
      <c r="G24" s="129">
        <v>588</v>
      </c>
      <c r="H24" s="131">
        <v>0.36731481481481482</v>
      </c>
      <c r="I24" s="131">
        <f t="shared" si="0"/>
        <v>1.9351851851851842E-2</v>
      </c>
      <c r="J24" s="150">
        <f>I24+J22</f>
        <v>8.8611111111111113E-2</v>
      </c>
      <c r="K24" s="165">
        <f t="shared" si="1"/>
        <v>1.5533333333333488</v>
      </c>
      <c r="L24" s="175">
        <f>AVERAGE(K24,K22,K16,K14,K11)</f>
        <v>1.1936343390804638</v>
      </c>
      <c r="M24" s="2" t="s">
        <v>170</v>
      </c>
    </row>
    <row r="25" spans="1:13" s="2" customFormat="1" ht="30" customHeight="1">
      <c r="A25" s="134"/>
      <c r="B25" s="135">
        <v>20</v>
      </c>
      <c r="C25" s="129" t="s">
        <v>102</v>
      </c>
      <c r="D25" s="129">
        <v>11</v>
      </c>
      <c r="E25" s="129">
        <v>49.7</v>
      </c>
      <c r="F25" s="130">
        <f>(51.49+51.04+51.29+51.78+54.36+52.25+51.96+51.5+50.94+51.61+52.01+5.61+52.54+51.53+51.43+51.43+51.06+50.74+50.58+50.14+52.89+50.47+50.01+49.9+50.3+49.91+49.7+49.72+50.02+51.31+50.68+51.1+51.16+51.05+50.68+53.75+50.22+51.3)/37</f>
        <v>51.336756756756756</v>
      </c>
      <c r="G25" s="129">
        <v>626</v>
      </c>
      <c r="H25" s="131">
        <v>0.39057870370370368</v>
      </c>
      <c r="I25" s="131">
        <f t="shared" si="0"/>
        <v>2.3263888888888862E-2</v>
      </c>
      <c r="J25" s="146">
        <f>I25+J19</f>
        <v>8.4062500000000012E-2</v>
      </c>
      <c r="K25" s="165">
        <f t="shared" si="1"/>
        <v>1.6367567567567534</v>
      </c>
      <c r="L25" s="175">
        <f>AVERAGE(K25,K19,K17,K9)</f>
        <v>1.4307588061664092</v>
      </c>
      <c r="M25" s="2" t="s">
        <v>171</v>
      </c>
    </row>
    <row r="26" spans="1:13" s="2" customFormat="1" ht="30" customHeight="1">
      <c r="A26" s="134"/>
      <c r="B26" s="135">
        <v>21</v>
      </c>
      <c r="C26" s="129" t="s">
        <v>90</v>
      </c>
      <c r="D26" s="129">
        <v>14</v>
      </c>
      <c r="E26" s="129">
        <v>50.95</v>
      </c>
      <c r="F26" s="130">
        <f>(51.17+51.7+51.19+51.43+51.78+51.25+53.2+51.45+51.67+51.17+51.84+51.38+51.61+52.13+61.67+57.86+54.41+54.64+52.68+51.95+51.87+50.95+51+51.08)/24</f>
        <v>52.544999999999987</v>
      </c>
      <c r="G26" s="129">
        <v>652</v>
      </c>
      <c r="H26" s="131">
        <v>0.40761574074074075</v>
      </c>
      <c r="I26" s="131">
        <f t="shared" si="0"/>
        <v>1.7037037037037073E-2</v>
      </c>
      <c r="J26" s="132">
        <f>I26+J20</f>
        <v>6.6388888888888886E-2</v>
      </c>
      <c r="K26" s="165">
        <f t="shared" si="1"/>
        <v>1.5949999999999847</v>
      </c>
    </row>
    <row r="27" spans="1:13" s="2" customFormat="1" ht="30" customHeight="1">
      <c r="A27" s="134"/>
      <c r="B27" s="135">
        <v>22</v>
      </c>
      <c r="C27" s="129" t="s">
        <v>94</v>
      </c>
      <c r="D27" s="129">
        <v>1</v>
      </c>
      <c r="E27" s="129">
        <v>49.07</v>
      </c>
      <c r="F27" s="130">
        <f>(50.99+50.68+50.47+50.89+50.06+50.37+50.07+50.18+49.86+49.91+49.8+51.57+49.86+49.72+50.09+49.75+50.09+49.69+49.97+50.03+49.78+50+49.79+51.19+51.12+49.41+49.39+50.01+49.68+49.07+49.27+49.75+50.23+49.84+49.7)/35</f>
        <v>50.06514285714286</v>
      </c>
      <c r="G27" s="129">
        <v>688</v>
      </c>
      <c r="H27" s="131">
        <v>0.42931712962962965</v>
      </c>
      <c r="I27" s="131">
        <f t="shared" si="0"/>
        <v>2.1701388888888895E-2</v>
      </c>
      <c r="J27" s="132">
        <f>I27+J23</f>
        <v>0.11228009259259261</v>
      </c>
      <c r="K27" s="165">
        <f t="shared" si="1"/>
        <v>0.99514285714285933</v>
      </c>
    </row>
    <row r="28" spans="1:13" s="2" customFormat="1" ht="30" customHeight="1" thickBot="1">
      <c r="A28" s="134"/>
      <c r="B28" s="135">
        <v>23</v>
      </c>
      <c r="C28" s="129" t="s">
        <v>90</v>
      </c>
      <c r="D28" s="129">
        <v>21</v>
      </c>
      <c r="E28" s="136">
        <v>49.07</v>
      </c>
      <c r="F28" s="130">
        <f>(55.72+49.84+49.33+49.3+49.71+49.18+49.37+49.07+67.34+50.2+56.71+50.28+49.91+51.35+52.06+55.22+52.4+51.81+51.61+51.33+50.65)/21</f>
        <v>52.018571428571441</v>
      </c>
      <c r="G28" s="129">
        <v>711</v>
      </c>
      <c r="H28" s="131">
        <v>0.44466435185185182</v>
      </c>
      <c r="I28" s="131">
        <f t="shared" si="0"/>
        <v>1.5347222222222179E-2</v>
      </c>
      <c r="J28" s="132">
        <f>I28+J26</f>
        <v>8.1736111111111065E-2</v>
      </c>
      <c r="K28" s="165">
        <f t="shared" si="1"/>
        <v>2.9485714285714408</v>
      </c>
    </row>
    <row r="29" spans="1:13" s="2" customFormat="1" ht="30" customHeight="1" thickBot="1">
      <c r="A29" s="134"/>
      <c r="B29" s="135">
        <v>24</v>
      </c>
      <c r="C29" s="129" t="s">
        <v>94</v>
      </c>
      <c r="D29" s="58">
        <v>88</v>
      </c>
      <c r="E29" s="137">
        <v>48.57</v>
      </c>
      <c r="F29" s="147">
        <f>(51.05+52.71+49.99+49.25+49.85+49.28+49.95+49.78+48.89+49.3+49.18+49.1+49.07+48.57+48.63+48.75+49.43+49.04+49.61+49.46+49.69+49.58+49.29+49.31+51.22+48.97+49.94+49.09+48.93+49.65+49.25+49.41+49.42+49.29+49.02+48.86+50.27+49.39+50.12+51.86+49.76+50.79+50.87+49.86+49.54+49.32+49.79)/47</f>
        <v>49.646382978723409</v>
      </c>
      <c r="G29" s="7">
        <v>759</v>
      </c>
      <c r="H29" s="131">
        <v>0.47333333333333333</v>
      </c>
      <c r="I29" s="131">
        <f t="shared" si="0"/>
        <v>2.8668981481481504E-2</v>
      </c>
      <c r="J29" s="190">
        <f>I29+J27</f>
        <v>0.14094907407407412</v>
      </c>
      <c r="K29" s="165">
        <f t="shared" si="1"/>
        <v>1.0763829787234087</v>
      </c>
      <c r="L29" s="175">
        <f>AVERAGE(K29,K27,K23,K18,K12,K7)</f>
        <v>1.199599459768206</v>
      </c>
      <c r="M29" s="2" t="s">
        <v>172</v>
      </c>
    </row>
    <row r="30" spans="1:13" s="2" customFormat="1" ht="30" customHeight="1">
      <c r="A30" s="134"/>
      <c r="B30" s="135">
        <v>25</v>
      </c>
      <c r="C30" s="129" t="s">
        <v>90</v>
      </c>
      <c r="D30" s="129">
        <v>6</v>
      </c>
      <c r="E30" s="145">
        <v>49.28</v>
      </c>
      <c r="F30" s="130">
        <f>(50.6+50.14+50.52+49.91+50.17+50.62+50.85+52.41+51.5+51.22+52.08+51.47+52.06+51.78+50.71+50.51+50.89+51.54+51.05+50.76+50.77+50.42+50.04+50.28+50.72+50.52+51.43+50.21+50.05+49.95+49.94+49.96+50.23+50.58+49.79+50.2+50.18+50.76+49.79+52.48+51.5+49.51+49.53+49.28+49.53+52.39+50.37+51.91+51.1+51.12+49.59+50.72+49.43+49.52+49.75+49.72+49.52)/57</f>
        <v>50.589122807017546</v>
      </c>
      <c r="G30" s="129">
        <v>817</v>
      </c>
      <c r="H30" s="131">
        <v>0.50767361111111109</v>
      </c>
      <c r="I30" s="131">
        <f>H30-H29</f>
        <v>3.4340277777777761E-2</v>
      </c>
      <c r="J30" s="154">
        <f>I30+J28</f>
        <v>0.11607638888888883</v>
      </c>
      <c r="K30" s="165">
        <f t="shared" si="1"/>
        <v>1.3091228070175447</v>
      </c>
      <c r="L30" s="175">
        <f>AVERAGE(K30,K28,K26,K20,K15,K10,K6)</f>
        <v>1.4874644077726782</v>
      </c>
      <c r="M30" s="2" t="s">
        <v>173</v>
      </c>
    </row>
    <row r="31" spans="1:13" s="2" customFormat="1" ht="30" customHeight="1" thickBot="1">
      <c r="A31" s="152"/>
      <c r="B31" s="153" t="s">
        <v>162</v>
      </c>
      <c r="C31" s="129" t="s">
        <v>98</v>
      </c>
      <c r="D31" s="129">
        <v>1</v>
      </c>
      <c r="E31" s="167">
        <v>48.32</v>
      </c>
      <c r="F31" s="191">
        <f>(51.24+51.16+51.53+51.01+50.64+51.02+50.83+52.51+52.05+49.04+48.72+48.86+48.92+48.87+48.99+49.66+51.28+48.55+49.2+49.1+48.77+48.73+48.54+52.82+49.51+52.21+48.72+48.9+48.74+48.44+49.03+48.84+52.16+48.64+48.68+48.84+49.7+49.61+50.22+49.68+48.57+48.75+48.55+48.7+49.44+48.64+48.75+48.32+48.47+48.73+48.62+48.63+50.4)/53</f>
        <v>49.594905660377364</v>
      </c>
      <c r="G31" s="129">
        <v>872</v>
      </c>
      <c r="H31" s="131">
        <v>0.54200231481481487</v>
      </c>
      <c r="I31" s="131">
        <f t="shared" si="0"/>
        <v>3.4328703703703778E-2</v>
      </c>
      <c r="J31" s="151">
        <f>I31+J21</f>
        <v>0.1123032407407408</v>
      </c>
      <c r="K31" s="165">
        <f t="shared" si="1"/>
        <v>1.2749056603773639</v>
      </c>
      <c r="L31" s="192">
        <f>AVERAGE(K31,K21,K13,K8)</f>
        <v>1.1106020561199852</v>
      </c>
      <c r="M31" s="2" t="s">
        <v>174</v>
      </c>
    </row>
    <row r="32" spans="1:13">
      <c r="E32" s="155">
        <f>AVERAGE(E6:E31)</f>
        <v>50.336923076923071</v>
      </c>
      <c r="F32" s="155">
        <f>AVERAGE(F6:F31)</f>
        <v>51.634748567598677</v>
      </c>
    </row>
  </sheetData>
  <mergeCells count="12">
    <mergeCell ref="I4:J4"/>
    <mergeCell ref="A6:A31"/>
    <mergeCell ref="A1:J1"/>
    <mergeCell ref="A3:J3"/>
    <mergeCell ref="A4:A5"/>
    <mergeCell ref="B4:B5"/>
    <mergeCell ref="C4:C5"/>
    <mergeCell ref="D4:D5"/>
    <mergeCell ref="E4:E5"/>
    <mergeCell ref="F4:F5"/>
    <mergeCell ref="G4:G5"/>
    <mergeCell ref="H4:H5"/>
  </mergeCells>
  <pageMargins left="0.31496062992125984" right="0.31496062992125984" top="0.55118110236220474" bottom="0.11811023622047245" header="0.31496062992125984" footer="0.31496062992125984"/>
  <pageSetup paperSize="9" scale="93" orientation="portrait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32"/>
  <sheetViews>
    <sheetView topLeftCell="A19" zoomScale="75" zoomScaleNormal="75" workbookViewId="0">
      <selection activeCell="F29" sqref="F29"/>
    </sheetView>
  </sheetViews>
  <sheetFormatPr defaultRowHeight="15"/>
  <cols>
    <col min="1" max="1" width="10.5703125" customWidth="1"/>
    <col min="2" max="2" width="7.28515625" customWidth="1"/>
    <col min="3" max="3" width="23.5703125" bestFit="1" customWidth="1"/>
    <col min="4" max="4" width="8.85546875" style="1" customWidth="1"/>
    <col min="5" max="5" width="10" style="1" customWidth="1"/>
    <col min="6" max="6" width="16.140625" style="1" customWidth="1"/>
    <col min="7" max="7" width="9.42578125" style="1" customWidth="1"/>
    <col min="8" max="8" width="18.5703125" style="1" customWidth="1"/>
    <col min="9" max="9" width="12.85546875" style="1" customWidth="1"/>
    <col min="10" max="10" width="17.5703125" style="1" customWidth="1"/>
  </cols>
  <sheetData>
    <row r="1" spans="1:11" ht="19.5">
      <c r="A1" s="94" t="s">
        <v>146</v>
      </c>
      <c r="B1" s="94"/>
      <c r="C1" s="94"/>
      <c r="D1" s="94"/>
      <c r="E1" s="94"/>
      <c r="F1" s="94"/>
      <c r="G1" s="94"/>
      <c r="H1" s="94"/>
      <c r="I1" s="94"/>
      <c r="J1" s="94"/>
    </row>
    <row r="2" spans="1:11" ht="10.5" customHeight="1"/>
    <row r="3" spans="1:11" ht="15.75" customHeight="1" thickBot="1">
      <c r="A3" s="95" t="s">
        <v>147</v>
      </c>
      <c r="B3" s="95"/>
      <c r="C3" s="95"/>
      <c r="D3" s="95"/>
      <c r="E3" s="95"/>
      <c r="F3" s="95"/>
      <c r="G3" s="95"/>
      <c r="H3" s="95"/>
      <c r="I3" s="95"/>
      <c r="J3" s="95"/>
    </row>
    <row r="4" spans="1:11" s="1" customFormat="1" ht="25.5" customHeight="1">
      <c r="A4" s="114" t="s">
        <v>148</v>
      </c>
      <c r="B4" s="115" t="s">
        <v>149</v>
      </c>
      <c r="C4" s="115" t="s">
        <v>32</v>
      </c>
      <c r="D4" s="116" t="s">
        <v>150</v>
      </c>
      <c r="E4" s="115" t="s">
        <v>175</v>
      </c>
      <c r="F4" s="118" t="s">
        <v>152</v>
      </c>
      <c r="G4" s="115" t="s">
        <v>153</v>
      </c>
      <c r="H4" s="115" t="s">
        <v>154</v>
      </c>
      <c r="I4" s="96" t="s">
        <v>155</v>
      </c>
      <c r="J4" s="119"/>
    </row>
    <row r="5" spans="1:11" s="1" customFormat="1" ht="22.5" customHeight="1" thickBot="1">
      <c r="A5" s="120"/>
      <c r="B5" s="121"/>
      <c r="C5" s="121"/>
      <c r="D5" s="122"/>
      <c r="E5" s="121"/>
      <c r="F5" s="124"/>
      <c r="G5" s="121"/>
      <c r="H5" s="121"/>
      <c r="I5" s="125" t="s">
        <v>156</v>
      </c>
      <c r="J5" s="125" t="s">
        <v>157</v>
      </c>
      <c r="K5" s="126"/>
    </row>
    <row r="6" spans="1:11" s="2" customFormat="1" ht="30" customHeight="1">
      <c r="A6" s="127" t="s">
        <v>56</v>
      </c>
      <c r="B6" s="128">
        <v>1</v>
      </c>
      <c r="C6" s="129" t="s">
        <v>57</v>
      </c>
      <c r="D6" s="129">
        <v>11</v>
      </c>
      <c r="E6" s="129">
        <v>52.28</v>
      </c>
      <c r="F6" s="130">
        <f>(56.06+55.77+54.21+54.86+54.77+54.64+53.41+56.24+53.5+53.98+54.05+53.32+53.14+53.13+52.91+55.26+52.63+56.49+61.26+53.67+53.03+53.31+52.28+52.29+53.8+54.86)/26</f>
        <v>54.341153846153844</v>
      </c>
      <c r="G6" s="129">
        <v>26</v>
      </c>
      <c r="H6" s="131">
        <v>1.6435185185185188E-2</v>
      </c>
      <c r="I6" s="131">
        <f>H6</f>
        <v>1.6435185185185188E-2</v>
      </c>
      <c r="J6" s="132">
        <f>I6</f>
        <v>1.6435185185185188E-2</v>
      </c>
      <c r="K6" s="133">
        <f>F6-E6</f>
        <v>2.061153846153843</v>
      </c>
    </row>
    <row r="7" spans="1:11" s="2" customFormat="1" ht="30" customHeight="1">
      <c r="A7" s="134"/>
      <c r="B7" s="135">
        <v>2</v>
      </c>
      <c r="C7" s="129" t="s">
        <v>65</v>
      </c>
      <c r="D7" s="129">
        <v>6</v>
      </c>
      <c r="E7" s="129">
        <v>54.15</v>
      </c>
      <c r="F7" s="130">
        <f>(56.84+56.44+54.95+55.68+55.28+54.77+54.74+54.24+54.59+54.23+54.31+54.97+54.15+54.43+54.48+54.81+64.41+54+54.43+54.76)/20</f>
        <v>55.325499999999998</v>
      </c>
      <c r="G7" s="129">
        <v>47</v>
      </c>
      <c r="H7" s="131">
        <v>3.0659722222222224E-2</v>
      </c>
      <c r="I7" s="131">
        <f t="shared" ref="I7:I31" si="0">H7-H6</f>
        <v>1.4224537037037036E-2</v>
      </c>
      <c r="J7" s="132">
        <f>I7</f>
        <v>1.4224537037037036E-2</v>
      </c>
      <c r="K7" s="133">
        <f>F7-E7</f>
        <v>1.1754999999999995</v>
      </c>
    </row>
    <row r="8" spans="1:11" s="2" customFormat="1" ht="30" customHeight="1">
      <c r="A8" s="134"/>
      <c r="B8" s="135">
        <v>3</v>
      </c>
      <c r="C8" s="129" t="s">
        <v>69</v>
      </c>
      <c r="D8" s="129">
        <v>11</v>
      </c>
      <c r="E8" s="129">
        <v>51.63</v>
      </c>
      <c r="F8" s="130">
        <f>(53.9+54.88+52.99+53.01+52.57+52.44+52.44+52.33+52.17+53+51.78+51.75+51.86+52.47+51.63+51.97+53.1+52.76+53.22+51.96+51.9+51.74+51.67+51.67+51.71+52)/26</f>
        <v>52.420000000000009</v>
      </c>
      <c r="G8" s="129">
        <v>74</v>
      </c>
      <c r="H8" s="131">
        <v>4.777777777777778E-2</v>
      </c>
      <c r="I8" s="131">
        <f t="shared" si="0"/>
        <v>1.7118055555555556E-2</v>
      </c>
      <c r="J8" s="132">
        <f>I8</f>
        <v>1.7118055555555556E-2</v>
      </c>
      <c r="K8" s="133">
        <f t="shared" ref="K8:K31" si="1">F8-E8</f>
        <v>0.79000000000000625</v>
      </c>
    </row>
    <row r="9" spans="1:11" s="2" customFormat="1" ht="30" customHeight="1">
      <c r="A9" s="134"/>
      <c r="B9" s="135">
        <v>4</v>
      </c>
      <c r="C9" s="129" t="s">
        <v>57</v>
      </c>
      <c r="D9" s="129">
        <v>3</v>
      </c>
      <c r="E9" s="129">
        <v>52.13</v>
      </c>
      <c r="F9" s="130">
        <f>(53.79+52.98+52.78+53.55+52.62+53.33+52.95+52.12+52.32+53.09+54.21+53.8+53.22+54.1+54.29+53.44+53.71+53.14+53.27+53.35+54.05+55.1+52.52+52.13+52.79+52.59+53.28+52.84+53.01+52.76+52.55+52.96+53.02+53.39+52.5+53.17+52.86+53.62+52.56+53.59+53.14+52.58+52.82)/43</f>
        <v>53.160232558139533</v>
      </c>
      <c r="G9" s="129">
        <v>118</v>
      </c>
      <c r="H9" s="131">
        <v>7.5578703703703703E-2</v>
      </c>
      <c r="I9" s="131">
        <f t="shared" si="0"/>
        <v>2.7800925925925923E-2</v>
      </c>
      <c r="J9" s="132">
        <f>I9+J6</f>
        <v>4.4236111111111115E-2</v>
      </c>
      <c r="K9" s="133">
        <f t="shared" si="1"/>
        <v>1.0302325581395309</v>
      </c>
    </row>
    <row r="10" spans="1:11" s="2" customFormat="1" ht="30" customHeight="1">
      <c r="A10" s="134"/>
      <c r="B10" s="135">
        <v>5</v>
      </c>
      <c r="C10" s="129" t="s">
        <v>61</v>
      </c>
      <c r="D10" s="129">
        <v>13</v>
      </c>
      <c r="E10" s="129">
        <v>52.35</v>
      </c>
      <c r="F10" s="130">
        <f>(53.93+53.69+53.58+53.45+53.4+53.39+53.25+53.02+53.34+53.93+53.42+53.1+53.46+52.39+53.01+53.04+53.11+54.01+55.21+53.67+53.08+52.41+52.35)/23</f>
        <v>53.358260869565207</v>
      </c>
      <c r="G10" s="129">
        <v>142</v>
      </c>
      <c r="H10" s="131">
        <v>9.1134259259259262E-2</v>
      </c>
      <c r="I10" s="131">
        <f t="shared" si="0"/>
        <v>1.5555555555555559E-2</v>
      </c>
      <c r="J10" s="132">
        <f>I10</f>
        <v>1.5555555555555559E-2</v>
      </c>
      <c r="K10" s="133">
        <f t="shared" si="1"/>
        <v>1.0082608695652056</v>
      </c>
    </row>
    <row r="11" spans="1:11" s="2" customFormat="1" ht="30" customHeight="1">
      <c r="A11" s="134"/>
      <c r="B11" s="135">
        <v>6</v>
      </c>
      <c r="C11" s="129" t="s">
        <v>69</v>
      </c>
      <c r="D11" s="129">
        <v>14</v>
      </c>
      <c r="E11" s="129">
        <v>51.38</v>
      </c>
      <c r="F11" s="130">
        <f>(54.17+52.94+52.24+52.03+52.3+51.86+51.83+52.94+54.27+52.29+52.22+52.12+52.34+52.92+53.24+52.75+52.05+52.49+52.96+53.02+52.46+52.64+52.12+53.7+52.76+52.5+52.38+51.89+54.16+53.73+51.91+51.62+51.38+51.57+51.6+51.39+52.56+53.28+51.74+52.03+51.54+51.92+52.15+52.57+54.04+53.09+52.68+53.24+52.99+51.65+51.67+52.49)/52</f>
        <v>52.508269230769237</v>
      </c>
      <c r="G11" s="129">
        <v>195</v>
      </c>
      <c r="H11" s="131">
        <v>0.12407407407407407</v>
      </c>
      <c r="I11" s="131">
        <f t="shared" si="0"/>
        <v>3.2939814814814811E-2</v>
      </c>
      <c r="J11" s="132">
        <f>I11+J8</f>
        <v>5.0057870370370364E-2</v>
      </c>
      <c r="K11" s="133">
        <f t="shared" si="1"/>
        <v>1.1282692307692344</v>
      </c>
    </row>
    <row r="12" spans="1:11" s="2" customFormat="1" ht="30" customHeight="1">
      <c r="A12" s="134"/>
      <c r="B12" s="135">
        <v>7</v>
      </c>
      <c r="C12" s="129" t="s">
        <v>65</v>
      </c>
      <c r="D12" s="129">
        <v>1</v>
      </c>
      <c r="E12" s="129">
        <v>50.01</v>
      </c>
      <c r="F12" s="130">
        <f>(54.36+54.64+54.86+54.23+53+53.19+53.13+53.32+53.33+52.91+52.95+52.34+52.23+52.46+52.05+52.1+52.05+51.8+51.87+52.54+52.46+51.23+51.17+51.27+51.28+50.95+50.8+50.89+50.66+50.33+50.74+51.26+50.72+50.74+50.49+50.52+50.26+50.24+51.91+50.34+50.29+50.01+50.49+50.37+52.18+53.38+51.91+51.41+51.69+51.26+51.86+50.39+50.73+51.26+50.51+50.71+50.62)/57</f>
        <v>51.696315789473694</v>
      </c>
      <c r="G12" s="129">
        <v>253</v>
      </c>
      <c r="H12" s="131">
        <v>0.15953703703703703</v>
      </c>
      <c r="I12" s="131">
        <f t="shared" si="0"/>
        <v>3.546296296296296E-2</v>
      </c>
      <c r="J12" s="132">
        <f>I12+J7</f>
        <v>4.9687499999999996E-2</v>
      </c>
      <c r="K12" s="133">
        <f t="shared" si="1"/>
        <v>1.6863157894736958</v>
      </c>
    </row>
    <row r="13" spans="1:11" s="2" customFormat="1" ht="30" customHeight="1" thickBot="1">
      <c r="A13" s="134"/>
      <c r="B13" s="135">
        <v>8</v>
      </c>
      <c r="C13" s="129" t="s">
        <v>61</v>
      </c>
      <c r="D13" s="129">
        <v>6</v>
      </c>
      <c r="E13" s="136">
        <v>50.38</v>
      </c>
      <c r="F13" s="130">
        <f>(51.67+51.68+52.99+52.06+60.27+51.1+51.27+51.12+53.64+53.12+51.26+51.05+50.51+51.21+50.55+50.82+51.1+51.12+50.44+50.38+50.82+51.2)/22</f>
        <v>51.790000000000006</v>
      </c>
      <c r="G13" s="129">
        <v>276</v>
      </c>
      <c r="H13" s="131">
        <v>0.17405092592592594</v>
      </c>
      <c r="I13" s="131">
        <f t="shared" si="0"/>
        <v>1.4513888888888909E-2</v>
      </c>
      <c r="J13" s="132">
        <f>I13+J10</f>
        <v>3.0069444444444468E-2</v>
      </c>
      <c r="K13" s="133">
        <f t="shared" si="1"/>
        <v>1.4100000000000037</v>
      </c>
    </row>
    <row r="14" spans="1:11" s="2" customFormat="1" ht="30" customHeight="1" thickBot="1">
      <c r="A14" s="134"/>
      <c r="B14" s="135">
        <v>9</v>
      </c>
      <c r="C14" s="129" t="s">
        <v>57</v>
      </c>
      <c r="D14" s="58">
        <v>11</v>
      </c>
      <c r="E14" s="148">
        <v>48.2</v>
      </c>
      <c r="F14" s="147">
        <f>(50.24+50.29+50.66+49.85+50.78+49.9+50.05+49.71+49.58+49.78+49.74+49.1+49.18+48.69+49.13+49.1+48.73+48.42+48.87+48.44+48.35+49.69+48.2+48.75+48.74+49.72+48.52+48.81+48.54+48.94+49.52+49.34+49.1+49.64+52.4+50.93+52.67+49.7+49.31+49.56+49.45+49.84+49.69+50.6+50.81+49.42+49.67+50.55+50.41+50.74+50.62+49.91+49.44+49.5+49.36)/55</f>
        <v>49.648727272727271</v>
      </c>
      <c r="G14" s="129">
        <v>332</v>
      </c>
      <c r="H14" s="131">
        <v>0.20709490740740741</v>
      </c>
      <c r="I14" s="131">
        <f t="shared" si="0"/>
        <v>3.3043981481481466E-2</v>
      </c>
      <c r="J14" s="132">
        <f>I14+J9</f>
        <v>7.7280092592592581E-2</v>
      </c>
      <c r="K14" s="133">
        <f t="shared" si="1"/>
        <v>1.4487272727272682</v>
      </c>
    </row>
    <row r="15" spans="1:11" s="2" customFormat="1" ht="30" customHeight="1">
      <c r="A15" s="134"/>
      <c r="B15" s="135">
        <v>10</v>
      </c>
      <c r="C15" s="129" t="s">
        <v>61</v>
      </c>
      <c r="D15" s="129">
        <v>12</v>
      </c>
      <c r="E15" s="145">
        <v>50.45</v>
      </c>
      <c r="F15" s="130">
        <f>(51.25+52.5+52.06+51.32+51.7+51.08+51.44+51.63+51.28+51.7+51.93+51.55+50.84+52.1+52.82+52.22+52.18+51.05+50.65+51.15+52.53+50.92+50.45+51.98+51.45+50.64+51.2)/27</f>
        <v>51.541481481481497</v>
      </c>
      <c r="G15" s="129">
        <v>360</v>
      </c>
      <c r="H15" s="131">
        <v>0.2245138888888889</v>
      </c>
      <c r="I15" s="131">
        <f t="shared" si="0"/>
        <v>1.7418981481481494E-2</v>
      </c>
      <c r="J15" s="132">
        <f>I15+J13</f>
        <v>4.7488425925925962E-2</v>
      </c>
      <c r="K15" s="133">
        <f t="shared" si="1"/>
        <v>1.0914814814814946</v>
      </c>
    </row>
    <row r="16" spans="1:11" s="2" customFormat="1" ht="30" customHeight="1">
      <c r="A16" s="134"/>
      <c r="B16" s="135">
        <v>11</v>
      </c>
      <c r="C16" s="129" t="s">
        <v>69</v>
      </c>
      <c r="D16" s="129">
        <v>5</v>
      </c>
      <c r="E16" s="129">
        <v>51.04</v>
      </c>
      <c r="F16" s="130">
        <f>(52.6+51.83+59.43+51.58+51.28+52.62+51.76+52.05+52+51.72+51.6+51.55+51.34+51.04+52.28+54.51+51.68+51.47+51.22)/19</f>
        <v>52.292631578947365</v>
      </c>
      <c r="G16" s="129">
        <v>380</v>
      </c>
      <c r="H16" s="131">
        <v>0.23741898148148147</v>
      </c>
      <c r="I16" s="131">
        <f t="shared" si="0"/>
        <v>1.2905092592592565E-2</v>
      </c>
      <c r="J16" s="132">
        <f>I16+J11</f>
        <v>6.2962962962962929E-2</v>
      </c>
      <c r="K16" s="133">
        <f t="shared" si="1"/>
        <v>1.2526315789473657</v>
      </c>
    </row>
    <row r="17" spans="1:13" s="2" customFormat="1" ht="30" customHeight="1">
      <c r="A17" s="134"/>
      <c r="B17" s="135">
        <v>12</v>
      </c>
      <c r="C17" s="129" t="s">
        <v>65</v>
      </c>
      <c r="D17" s="129">
        <v>6</v>
      </c>
      <c r="E17" s="129">
        <v>50.6</v>
      </c>
      <c r="F17" s="130">
        <f>(52.36+51.77+51.23+50.98+50.6+51.89+50.84+51.31+50.55+51.29+53.13+51.17+50.73+51.05+50.8+51.63+51.27+52.62+52.47+52.71+54.6+53.31+53.23+52.73+52.66+53.53)/26</f>
        <v>51.94076923076922</v>
      </c>
      <c r="G17" s="129">
        <v>408</v>
      </c>
      <c r="H17" s="131">
        <v>0.25627314814814817</v>
      </c>
      <c r="I17" s="131">
        <f t="shared" si="0"/>
        <v>1.88541666666667E-2</v>
      </c>
      <c r="J17" s="132">
        <f>I17+J12</f>
        <v>6.8541666666666695E-2</v>
      </c>
      <c r="K17" s="133">
        <f t="shared" si="1"/>
        <v>1.3407692307692187</v>
      </c>
    </row>
    <row r="18" spans="1:13" s="2" customFormat="1" ht="30" customHeight="1">
      <c r="A18" s="134"/>
      <c r="B18" s="135">
        <v>13</v>
      </c>
      <c r="C18" s="129" t="s">
        <v>61</v>
      </c>
      <c r="D18" s="129">
        <v>13</v>
      </c>
      <c r="E18" s="129">
        <v>52.18</v>
      </c>
      <c r="F18" s="130">
        <f>(53.72+54.55+54.03+54.42+53.54+53.52+55.01+55.5+54.24+54.36+54.21+54.42+55.24+52.93+52.9+52.81+53.03+52.89+52.71+52.76+52.83+52.66+52.18+52.66+52.38+53.35+54.06+53.97+53.98+54.31+83.76)/31</f>
        <v>54.610645161290314</v>
      </c>
      <c r="G18" s="129">
        <v>440</v>
      </c>
      <c r="H18" s="131">
        <v>0.27783564814814815</v>
      </c>
      <c r="I18" s="131">
        <f t="shared" si="0"/>
        <v>2.1562499999999984E-2</v>
      </c>
      <c r="J18" s="132">
        <f>I18+J15</f>
        <v>6.9050925925925946E-2</v>
      </c>
      <c r="K18" s="133">
        <f t="shared" si="1"/>
        <v>2.4306451612903146</v>
      </c>
    </row>
    <row r="19" spans="1:13" s="2" customFormat="1" ht="30" customHeight="1">
      <c r="A19" s="134"/>
      <c r="B19" s="135">
        <v>14</v>
      </c>
      <c r="C19" s="129" t="s">
        <v>57</v>
      </c>
      <c r="D19" s="129">
        <v>7</v>
      </c>
      <c r="E19" s="129">
        <v>51.52</v>
      </c>
      <c r="F19" s="130">
        <f>(55.27+54.09+53.04+52.75+52.46+52.75+52.45+52.66+52.68+66.76+55.14+52.58+52.21+51.62+51.52+52.33+51.94)/17</f>
        <v>53.661764705882369</v>
      </c>
      <c r="G19" s="129">
        <v>459</v>
      </c>
      <c r="H19" s="131">
        <v>0.2910300925925926</v>
      </c>
      <c r="I19" s="131">
        <f t="shared" si="0"/>
        <v>1.3194444444444453E-2</v>
      </c>
      <c r="J19" s="132">
        <f>I19+J14</f>
        <v>9.0474537037037034E-2</v>
      </c>
      <c r="K19" s="133">
        <f t="shared" si="1"/>
        <v>2.1417647058823661</v>
      </c>
    </row>
    <row r="20" spans="1:13" s="2" customFormat="1" ht="30" customHeight="1">
      <c r="A20" s="134"/>
      <c r="B20" s="135">
        <v>15</v>
      </c>
      <c r="C20" s="129" t="s">
        <v>61</v>
      </c>
      <c r="D20" s="129">
        <v>3</v>
      </c>
      <c r="E20" s="129">
        <v>50.05</v>
      </c>
      <c r="F20" s="130">
        <f>(51.3+51.23+52.44+51.2+50.82+50.8+50.95+50.88+50.66+50.44+50.85+50.72+51.67+50.17+50.09+50.22+50.42+52.19+50.86+51.34+50.06+50.18+50.89+50.27+50.48+50.05+50.44+50.25+50.36+50.77+50.51+51+50.8+50.76+63.16+50.57+50.91+50.46+54.72+50.2+50.32+50.2+51.54+50.46+50.53)/45</f>
        <v>51.092000000000006</v>
      </c>
      <c r="G20" s="129">
        <v>505</v>
      </c>
      <c r="H20" s="131">
        <v>0.31894675925925925</v>
      </c>
      <c r="I20" s="131">
        <f t="shared" si="0"/>
        <v>2.7916666666666645E-2</v>
      </c>
      <c r="J20" s="132">
        <f>I20+J18</f>
        <v>9.6967592592592591E-2</v>
      </c>
      <c r="K20" s="133">
        <f t="shared" si="1"/>
        <v>1.0420000000000087</v>
      </c>
    </row>
    <row r="21" spans="1:13" s="2" customFormat="1" ht="30" customHeight="1">
      <c r="A21" s="134"/>
      <c r="B21" s="135">
        <v>16</v>
      </c>
      <c r="C21" s="129" t="s">
        <v>57</v>
      </c>
      <c r="D21" s="129">
        <v>1</v>
      </c>
      <c r="E21" s="129">
        <v>50.2</v>
      </c>
      <c r="F21" s="130">
        <f>(52.02+51.83+52.66+54.54+51.35+51.44+51.53+51.38+50.67+51.05+50.59+53.06+53.05+50.46+50.64+50.5+50.2+50.55+51.08+52.82)/20</f>
        <v>51.571000000000005</v>
      </c>
      <c r="G21" s="129">
        <v>526</v>
      </c>
      <c r="H21" s="131">
        <v>0.33224537037037033</v>
      </c>
      <c r="I21" s="131">
        <f t="shared" si="0"/>
        <v>1.3298611111111081E-2</v>
      </c>
      <c r="J21" s="132">
        <f>I21+J19</f>
        <v>0.10377314814814811</v>
      </c>
      <c r="K21" s="133">
        <f t="shared" si="1"/>
        <v>1.3710000000000022</v>
      </c>
    </row>
    <row r="22" spans="1:13" s="2" customFormat="1" ht="30" customHeight="1">
      <c r="A22" s="134"/>
      <c r="B22" s="135">
        <v>17</v>
      </c>
      <c r="C22" s="129" t="s">
        <v>69</v>
      </c>
      <c r="D22" s="129">
        <v>2</v>
      </c>
      <c r="E22" s="129">
        <v>51.47</v>
      </c>
      <c r="F22" s="130">
        <f>(52.62+52.87+52.4+52.58+51.98+52.55+53.12+52.02+51.63+52.34+53.1+51.7+51.89+51.5+51.86+51.81+52.01+51.81+51.82+51.47+51.74)/21</f>
        <v>52.13428571428571</v>
      </c>
      <c r="G22" s="129">
        <v>548</v>
      </c>
      <c r="H22" s="131">
        <v>0.34636574074074072</v>
      </c>
      <c r="I22" s="131">
        <f t="shared" si="0"/>
        <v>1.4120370370370394E-2</v>
      </c>
      <c r="J22" s="132">
        <f>I22+J16</f>
        <v>7.7083333333333323E-2</v>
      </c>
      <c r="K22" s="133">
        <f t="shared" si="1"/>
        <v>0.66428571428571104</v>
      </c>
    </row>
    <row r="23" spans="1:13" s="2" customFormat="1" ht="30" customHeight="1">
      <c r="A23" s="134"/>
      <c r="B23" s="135">
        <v>18</v>
      </c>
      <c r="C23" s="129" t="s">
        <v>57</v>
      </c>
      <c r="D23" s="129">
        <v>7</v>
      </c>
      <c r="E23" s="129">
        <v>50.07</v>
      </c>
      <c r="F23" s="130">
        <f>(52.87+51.46+51.66+50.9+51.67+50.84+51.52+50.65+50.33+51.22+50.47+50.87+51.24+51.29+51.55+53.58+50.61+50.23+50.55+50.07+51.14+50.37+50.81+50.5+51.82+50.98+52.78+52.93+50.71+51.8+51.98+52.8+51.8+51.64+51.27+51.52+51.62+51.46+51.54+52.19+51.61+51.9+74.99+52.44+51.98+52.12+51.64+52.4+51.52+51.63)/50</f>
        <v>51.949399999999997</v>
      </c>
      <c r="G23" s="129">
        <v>599</v>
      </c>
      <c r="H23" s="131">
        <v>0.37765046296296295</v>
      </c>
      <c r="I23" s="131">
        <f t="shared" si="0"/>
        <v>3.1284722222222228E-2</v>
      </c>
      <c r="J23" s="150">
        <f>I23+J21</f>
        <v>0.13505787037037034</v>
      </c>
      <c r="K23" s="133">
        <f t="shared" si="1"/>
        <v>1.8793999999999969</v>
      </c>
    </row>
    <row r="24" spans="1:13" s="2" customFormat="1" ht="30" customHeight="1">
      <c r="A24" s="134"/>
      <c r="B24" s="135">
        <v>19</v>
      </c>
      <c r="C24" s="129" t="s">
        <v>61</v>
      </c>
      <c r="D24" s="129">
        <v>6</v>
      </c>
      <c r="E24" s="129">
        <v>50.64</v>
      </c>
      <c r="F24" s="130">
        <f>(51.36+51.27+51.75+51.21+51.15+50.76+51.1+51.78+50.99+50.64+51.2+51.3+50.77+51.23+50.94+50.95+50.77+50.84+52.57+51.6+52.01+52.82+52.19+51.4+50.79+50.73+50.92+51.76)/28</f>
        <v>51.314285714285724</v>
      </c>
      <c r="G24" s="129">
        <v>628</v>
      </c>
      <c r="H24" s="131">
        <v>0.39534722222222224</v>
      </c>
      <c r="I24" s="131">
        <f t="shared" si="0"/>
        <v>1.7696759259259287E-2</v>
      </c>
      <c r="J24" s="132">
        <f>I24+J20</f>
        <v>0.11466435185185188</v>
      </c>
      <c r="K24" s="133">
        <f t="shared" si="1"/>
        <v>0.67428571428572326</v>
      </c>
    </row>
    <row r="25" spans="1:13" s="2" customFormat="1" ht="30" customHeight="1" thickBot="1">
      <c r="A25" s="134"/>
      <c r="B25" s="135">
        <v>20</v>
      </c>
      <c r="C25" s="129" t="s">
        <v>65</v>
      </c>
      <c r="D25" s="129">
        <v>10</v>
      </c>
      <c r="E25" s="136">
        <v>49.55</v>
      </c>
      <c r="F25" s="130">
        <f>(52.34+51.57+50.78+51.06+51.23+50.63+50.26+51+50.84+51.14+50.88+50.97+51.22+50.63+51.09+52.67+51.05+50.79+52.37+51.02+50.65+50.33+51.03+50.7+50.65+50.51+50.62+50.48+50.56+50.27+50.87+50.45+50.43+50.11+50.35+50.46+49.82+50.03+49.83+50.08+49.87+49.99+49.92+49.78+50.65+49.88+49.69+49.81+49.86+49.68+49.93+49.64+49.55+50.66)/54</f>
        <v>50.56814814814814</v>
      </c>
      <c r="G25" s="129">
        <v>683</v>
      </c>
      <c r="H25" s="131">
        <v>0.42819444444444449</v>
      </c>
      <c r="I25" s="131">
        <f t="shared" si="0"/>
        <v>3.284722222222225E-2</v>
      </c>
      <c r="J25" s="132">
        <f>I25+J17</f>
        <v>0.10138888888888895</v>
      </c>
      <c r="K25" s="133">
        <f t="shared" si="1"/>
        <v>1.0181481481481427</v>
      </c>
    </row>
    <row r="26" spans="1:13" s="2" customFormat="1" ht="30" customHeight="1" thickBot="1">
      <c r="A26" s="134"/>
      <c r="B26" s="135">
        <v>21</v>
      </c>
      <c r="C26" s="129" t="s">
        <v>61</v>
      </c>
      <c r="D26" s="58">
        <v>88</v>
      </c>
      <c r="E26" s="142">
        <v>49.27</v>
      </c>
      <c r="F26" s="193">
        <f>(49.89+50.26+49.62+50.62+50.05+49.64+49.91+49.94+50.95+49.63+49.27+51.09+50.14+49.54+49.27+49.43+49.42+49.52+49.59+49.93)/20</f>
        <v>49.885499999999993</v>
      </c>
      <c r="G26" s="129">
        <v>704</v>
      </c>
      <c r="H26" s="131">
        <v>0.44096064814814812</v>
      </c>
      <c r="I26" s="131">
        <f t="shared" si="0"/>
        <v>1.2766203703703627E-2</v>
      </c>
      <c r="J26" s="146">
        <f>I26+J24</f>
        <v>0.12743055555555549</v>
      </c>
      <c r="K26" s="144">
        <f t="shared" si="1"/>
        <v>0.61549999999999017</v>
      </c>
    </row>
    <row r="27" spans="1:13" s="2" customFormat="1" ht="30" customHeight="1" thickBot="1">
      <c r="A27" s="134"/>
      <c r="B27" s="135">
        <v>22</v>
      </c>
      <c r="C27" s="129" t="s">
        <v>69</v>
      </c>
      <c r="D27" s="129">
        <v>11</v>
      </c>
      <c r="E27" s="188">
        <v>48.55</v>
      </c>
      <c r="F27" s="130">
        <f>(53.14+51.18+50.22+50.49+50.06+49.98+49.96+48.94+50.75+51.26+51.48+51.22+50.59+50.66+49.18+49.26+49.11+49.1+49.07+48.95+49.25+50+49.03+49.37+49.73+53.19+49.87+49.86+51.78+51.97+50.69+49.57+49.79+48.95+49.57+49.32+49.12+49.16+49.39+49.09+48.81+48.61+49.96+50.11+50.16+48.55+50.41+49.24+48.62+48.63+49.56)/51</f>
        <v>49.920784313725484</v>
      </c>
      <c r="G27" s="129">
        <v>756</v>
      </c>
      <c r="H27" s="131">
        <v>0.471712962962963</v>
      </c>
      <c r="I27" s="131">
        <f t="shared" si="0"/>
        <v>3.0752314814814885E-2</v>
      </c>
      <c r="J27" s="132">
        <f>I27+J22</f>
        <v>0.10783564814814821</v>
      </c>
      <c r="K27" s="133">
        <f t="shared" si="1"/>
        <v>1.3707843137254869</v>
      </c>
    </row>
    <row r="28" spans="1:13" s="2" customFormat="1" ht="30" customHeight="1" thickBot="1">
      <c r="A28" s="134"/>
      <c r="B28" s="135">
        <v>23</v>
      </c>
      <c r="C28" s="129" t="s">
        <v>65</v>
      </c>
      <c r="D28" s="58">
        <v>7</v>
      </c>
      <c r="E28" s="137">
        <v>49.1</v>
      </c>
      <c r="F28" s="147">
        <f>(50.14+49.63+50.06+49.7+49.4+50.1+50.32+53.39+49.91+50.03+50.52+50.46+50.43+50.13+50.08+50.36+49.88+51.08+49.88+51.19+50.2+50.24+49.62+49.2+49.1+49.38+49.23+52.42+49.29+52.38+49.63+49.11+49.99+50.23+56.99+50.1+52.89+49.94)/38</f>
        <v>50.437631578947375</v>
      </c>
      <c r="G28" s="129">
        <v>795</v>
      </c>
      <c r="H28" s="131">
        <v>0.49525462962962963</v>
      </c>
      <c r="I28" s="131">
        <f t="shared" si="0"/>
        <v>2.3541666666666627E-2</v>
      </c>
      <c r="J28" s="132">
        <f>I28+J23</f>
        <v>0.15859953703703697</v>
      </c>
      <c r="K28" s="133">
        <f t="shared" si="1"/>
        <v>1.3376315789473736</v>
      </c>
      <c r="L28" s="175">
        <f>AVERAGE(K23,K21,K19,K14,K9,K6)</f>
        <v>1.6553797304838345</v>
      </c>
      <c r="M28" s="2" t="s">
        <v>176</v>
      </c>
    </row>
    <row r="29" spans="1:13" s="2" customFormat="1" ht="30" customHeight="1">
      <c r="A29" s="134"/>
      <c r="B29" s="135">
        <v>24</v>
      </c>
      <c r="C29" s="129" t="s">
        <v>69</v>
      </c>
      <c r="D29" s="129">
        <v>1</v>
      </c>
      <c r="E29" s="149">
        <v>48.48</v>
      </c>
      <c r="F29" s="130">
        <f>(50.55+49.96+50.29+49.52+49.51+48.85+48.9+51.48+50.49+52.42+48.97+49.99+51.34+50.94+49.2+48.48+49.08+49.16)/18</f>
        <v>49.951666666666675</v>
      </c>
      <c r="G29" s="7">
        <v>814</v>
      </c>
      <c r="H29" s="131">
        <v>0.50706018518518514</v>
      </c>
      <c r="I29" s="131">
        <f t="shared" si="0"/>
        <v>1.1805555555555514E-2</v>
      </c>
      <c r="J29" s="132">
        <f>I29+J27</f>
        <v>0.11964120370370372</v>
      </c>
      <c r="K29" s="133">
        <f t="shared" si="1"/>
        <v>1.4716666666666782</v>
      </c>
      <c r="L29" s="175">
        <f>AVERAGE(K26,K24,K20,K18,K15,K13,K10)</f>
        <v>1.1817390323746773</v>
      </c>
      <c r="M29" s="2" t="s">
        <v>61</v>
      </c>
    </row>
    <row r="30" spans="1:13" s="2" customFormat="1" ht="30" customHeight="1" thickBot="1">
      <c r="A30" s="134"/>
      <c r="B30" s="135">
        <v>25</v>
      </c>
      <c r="C30" s="194" t="s">
        <v>65</v>
      </c>
      <c r="D30" s="129">
        <v>15</v>
      </c>
      <c r="E30" s="136">
        <v>49.56</v>
      </c>
      <c r="F30" s="130">
        <f>(51.2+50.79+51.2+51.43+49.99+50.56+50.67+50.64+50.4+50.68+50.01+50.82+50.48+49.96+49.86+49.56+51.66+49.85+50.04)/19</f>
        <v>50.515789473684222</v>
      </c>
      <c r="G30" s="129">
        <v>835</v>
      </c>
      <c r="H30" s="131">
        <v>0.52229166666666671</v>
      </c>
      <c r="I30" s="131">
        <f>H30-H29</f>
        <v>1.5231481481481568E-2</v>
      </c>
      <c r="J30" s="154">
        <f>I30+J28</f>
        <v>0.17383101851851854</v>
      </c>
      <c r="K30" s="133">
        <f t="shared" si="1"/>
        <v>0.95578947368422007</v>
      </c>
      <c r="L30" s="175">
        <f>AVERAGE(K30,K28,K25,K17,K12,K7)</f>
        <v>1.2523590368371085</v>
      </c>
      <c r="M30" s="2" t="s">
        <v>177</v>
      </c>
    </row>
    <row r="31" spans="1:13" s="2" customFormat="1" ht="30" customHeight="1" thickBot="1">
      <c r="A31" s="152"/>
      <c r="B31" s="153" t="s">
        <v>162</v>
      </c>
      <c r="C31" s="129" t="s">
        <v>69</v>
      </c>
      <c r="D31" s="58">
        <v>99</v>
      </c>
      <c r="E31" s="137">
        <v>48.34</v>
      </c>
      <c r="F31" s="147">
        <f>(49.34+49.16+49.09+48.72+48.69+48.66+49.1+48.4+51.93+51.26+49.6+48.7+48.66+48.69+48.59+48.52+48.58+48.33+48.48+48.34+48.56+49.58+48.7+50.38+50.78+50.81+48.76+48.48+49.79+48.57+48.62+48.63+48.41)/33</f>
        <v>49.118484848484854</v>
      </c>
      <c r="G31" s="129">
        <v>869</v>
      </c>
      <c r="H31" s="131">
        <v>0.54200231481481487</v>
      </c>
      <c r="I31" s="131">
        <f t="shared" si="0"/>
        <v>1.9710648148148158E-2</v>
      </c>
      <c r="J31" s="151">
        <f>I31+J29</f>
        <v>0.13935185185185189</v>
      </c>
      <c r="K31" s="133">
        <f t="shared" si="1"/>
        <v>0.778484848484851</v>
      </c>
      <c r="L31" s="195">
        <f>AVERAGE(K31,K29,K27,K22,K16,K11,K8)</f>
        <v>1.065160336125619</v>
      </c>
      <c r="M31" s="2" t="s">
        <v>178</v>
      </c>
    </row>
    <row r="32" spans="1:13">
      <c r="E32" s="155">
        <f>AVERAGE(E6:E31)</f>
        <v>50.522307692307677</v>
      </c>
      <c r="F32" s="155">
        <f>AVERAGE(F6:F31)</f>
        <v>51.798258776285678</v>
      </c>
    </row>
  </sheetData>
  <mergeCells count="12">
    <mergeCell ref="I4:J4"/>
    <mergeCell ref="A6:A31"/>
    <mergeCell ref="A1:J1"/>
    <mergeCell ref="A3:J3"/>
    <mergeCell ref="A4:A5"/>
    <mergeCell ref="B4:B5"/>
    <mergeCell ref="C4:C5"/>
    <mergeCell ref="D4:D5"/>
    <mergeCell ref="E4:E5"/>
    <mergeCell ref="F4:F5"/>
    <mergeCell ref="G4:G5"/>
    <mergeCell ref="H4:H5"/>
  </mergeCells>
  <pageMargins left="0.31496062992125984" right="0.31496062992125984" top="0.55118110236220474" bottom="0.11811023622047245" header="0.31496062992125984" footer="0.31496062992125984"/>
  <pageSetup paperSize="9" scale="93" orientation="portrait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32"/>
  <sheetViews>
    <sheetView zoomScale="75" zoomScaleNormal="75" workbookViewId="0">
      <selection activeCell="F29" sqref="F29"/>
    </sheetView>
  </sheetViews>
  <sheetFormatPr defaultRowHeight="15"/>
  <cols>
    <col min="1" max="1" width="10.5703125" customWidth="1"/>
    <col min="2" max="2" width="7.28515625" customWidth="1"/>
    <col min="3" max="3" width="20.85546875" bestFit="1" customWidth="1"/>
    <col min="4" max="5" width="8.85546875" style="1" customWidth="1"/>
    <col min="6" max="6" width="14.85546875" style="155" customWidth="1"/>
    <col min="7" max="7" width="9.42578125" style="1" customWidth="1"/>
    <col min="8" max="8" width="18.5703125" style="1" customWidth="1"/>
    <col min="9" max="9" width="12.85546875" style="1" customWidth="1"/>
    <col min="10" max="10" width="17.5703125" style="1" customWidth="1"/>
    <col min="11" max="11" width="7.28515625" style="156" customWidth="1"/>
  </cols>
  <sheetData>
    <row r="1" spans="1:11" ht="19.5">
      <c r="A1" s="94" t="s">
        <v>146</v>
      </c>
      <c r="B1" s="94"/>
      <c r="C1" s="94"/>
      <c r="D1" s="94"/>
      <c r="E1" s="94"/>
      <c r="F1" s="94"/>
      <c r="G1" s="94"/>
      <c r="H1" s="94"/>
      <c r="I1" s="94"/>
      <c r="J1" s="94"/>
    </row>
    <row r="2" spans="1:11" ht="10.5" customHeight="1"/>
    <row r="3" spans="1:11" ht="15.75" customHeight="1" thickBot="1">
      <c r="A3" s="95" t="s">
        <v>147</v>
      </c>
      <c r="B3" s="95"/>
      <c r="C3" s="95"/>
      <c r="D3" s="95"/>
      <c r="E3" s="95"/>
      <c r="F3" s="95"/>
      <c r="G3" s="95"/>
      <c r="H3" s="95"/>
      <c r="I3" s="95"/>
      <c r="J3" s="95"/>
    </row>
    <row r="4" spans="1:11" s="1" customFormat="1" ht="25.5" customHeight="1">
      <c r="A4" s="114" t="s">
        <v>148</v>
      </c>
      <c r="B4" s="115" t="s">
        <v>149</v>
      </c>
      <c r="C4" s="115" t="s">
        <v>32</v>
      </c>
      <c r="D4" s="116" t="s">
        <v>150</v>
      </c>
      <c r="E4" s="117" t="s">
        <v>151</v>
      </c>
      <c r="F4" s="118" t="s">
        <v>152</v>
      </c>
      <c r="G4" s="115" t="s">
        <v>153</v>
      </c>
      <c r="H4" s="115" t="s">
        <v>154</v>
      </c>
      <c r="I4" s="96" t="s">
        <v>155</v>
      </c>
      <c r="J4" s="119"/>
      <c r="K4" s="157"/>
    </row>
    <row r="5" spans="1:11" s="1" customFormat="1" ht="22.5" customHeight="1" thickBot="1">
      <c r="A5" s="120"/>
      <c r="B5" s="121"/>
      <c r="C5" s="121"/>
      <c r="D5" s="122"/>
      <c r="E5" s="123"/>
      <c r="F5" s="124"/>
      <c r="G5" s="121"/>
      <c r="H5" s="121"/>
      <c r="I5" s="125" t="s">
        <v>156</v>
      </c>
      <c r="J5" s="125" t="s">
        <v>157</v>
      </c>
      <c r="K5" s="187"/>
    </row>
    <row r="6" spans="1:11" s="2" customFormat="1" ht="30" customHeight="1">
      <c r="A6" s="127" t="s">
        <v>179</v>
      </c>
      <c r="B6" s="128">
        <v>1</v>
      </c>
      <c r="C6" s="129" t="s">
        <v>85</v>
      </c>
      <c r="D6" s="129">
        <v>3</v>
      </c>
      <c r="E6" s="129">
        <v>52.46</v>
      </c>
      <c r="F6" s="130">
        <f>(56.6+55.88+54.08+55.94+54.28+54.81+53.46+53.81+54.49+53.66+54.18+53.55+53.04+52.73+52.46+52.71+52.56+55.24+52.79+52.57+52.9+53.16)/22</f>
        <v>53.859090909090916</v>
      </c>
      <c r="G6" s="129">
        <v>22</v>
      </c>
      <c r="H6" s="131">
        <v>1.3819444444444445E-2</v>
      </c>
      <c r="I6" s="131">
        <f>H6</f>
        <v>1.3819444444444445E-2</v>
      </c>
      <c r="J6" s="132">
        <f>I6</f>
        <v>1.3819444444444445E-2</v>
      </c>
      <c r="K6" s="165">
        <f>F6-E6</f>
        <v>1.3990909090909156</v>
      </c>
    </row>
    <row r="7" spans="1:11" s="2" customFormat="1" ht="30" customHeight="1">
      <c r="A7" s="134"/>
      <c r="B7" s="135">
        <v>2</v>
      </c>
      <c r="C7" s="129" t="s">
        <v>72</v>
      </c>
      <c r="D7" s="129">
        <v>7</v>
      </c>
      <c r="E7" s="129">
        <v>51.38</v>
      </c>
      <c r="F7" s="130">
        <f>(54.82+54.54+54.36+53.66+53.62+53.67+53.45+53.5+52.98+53.73+53.27+52.34+52.15+52.45+53.64+54.53+52.26+52.03+52.13+52.18+51.58+53.07+52.06+51.38+51.85+52.13+57.75+52.49+52.02+52.43+52.59+52.42+51.88+53.49+52+53.15+52.15+52.01+53.06+53.06+52.53+51.83+51.69+51.7+52.21+53.61+51.73+52.09+52.48+52.66)/50</f>
        <v>52.808200000000006</v>
      </c>
      <c r="G7" s="129">
        <v>73</v>
      </c>
      <c r="H7" s="131">
        <v>4.5729166666666661E-2</v>
      </c>
      <c r="I7" s="131">
        <f t="shared" ref="I7:I31" si="0">H7-H6</f>
        <v>3.1909722222222214E-2</v>
      </c>
      <c r="J7" s="132">
        <f>I7</f>
        <v>3.1909722222222214E-2</v>
      </c>
      <c r="K7" s="165">
        <f t="shared" ref="K7:K31" si="1">F7-E7</f>
        <v>1.4282000000000039</v>
      </c>
    </row>
    <row r="8" spans="1:11" s="2" customFormat="1" ht="30" customHeight="1">
      <c r="A8" s="134"/>
      <c r="B8" s="135">
        <v>3</v>
      </c>
      <c r="C8" s="129" t="s">
        <v>77</v>
      </c>
      <c r="D8" s="129">
        <v>12</v>
      </c>
      <c r="E8" s="129">
        <v>53.2</v>
      </c>
      <c r="F8" s="130">
        <f>(54.17+54.99+54.49+54.22+55.14+54.27+53.86+54.91+54.08+53.94+53.95+53.57+53.34+54.25+53.58+53.33+53.71+54.12+53.99+53.59+53.36+53.2+53.39+54.06+55.47)/25</f>
        <v>54.039200000000001</v>
      </c>
      <c r="G8" s="129">
        <v>99</v>
      </c>
      <c r="H8" s="131">
        <v>6.2766203703703713E-2</v>
      </c>
      <c r="I8" s="131">
        <f t="shared" si="0"/>
        <v>1.7037037037037052E-2</v>
      </c>
      <c r="J8" s="132">
        <f>I8</f>
        <v>1.7037037037037052E-2</v>
      </c>
      <c r="K8" s="165">
        <f t="shared" si="1"/>
        <v>0.83919999999999817</v>
      </c>
    </row>
    <row r="9" spans="1:11" s="2" customFormat="1" ht="30" customHeight="1">
      <c r="A9" s="134"/>
      <c r="B9" s="135">
        <v>4</v>
      </c>
      <c r="C9" s="129" t="s">
        <v>81</v>
      </c>
      <c r="D9" s="129">
        <v>14</v>
      </c>
      <c r="E9" s="129">
        <v>52.85</v>
      </c>
      <c r="F9" s="130">
        <f>(53.89+54.76+54.02+54.14+54.88+54.54+54.07+54.31+54.05+54.15+54.4+53.81+57.85+54+53.75+53.73+53.74+58.24+53.99+53.07+54.26+52.85+53.45+53.44+53.3+53.22+54)/27</f>
        <v>54.218888888888884</v>
      </c>
      <c r="G9" s="129">
        <v>127</v>
      </c>
      <c r="H9" s="131">
        <v>8.1053240740740731E-2</v>
      </c>
      <c r="I9" s="131">
        <f t="shared" si="0"/>
        <v>1.8287037037037018E-2</v>
      </c>
      <c r="J9" s="132">
        <f>I9</f>
        <v>1.8287037037037018E-2</v>
      </c>
      <c r="K9" s="165">
        <f t="shared" si="1"/>
        <v>1.3688888888888826</v>
      </c>
    </row>
    <row r="10" spans="1:11" s="2" customFormat="1" ht="30" customHeight="1">
      <c r="A10" s="134"/>
      <c r="B10" s="135">
        <v>5</v>
      </c>
      <c r="C10" s="129" t="s">
        <v>85</v>
      </c>
      <c r="D10" s="129">
        <v>88</v>
      </c>
      <c r="E10" s="129">
        <v>51.73</v>
      </c>
      <c r="F10" s="130">
        <f>(52.1+54.9+79.28+55.31+52.85+53.14+53.26+53.49+52.61+52.55+52.44+52.61+52.73+52.38+54.3+52.3+52.03+52.53+52.12+51.9+51.73+51.98+51.87+51.75+54.12+53.42+52.27+51.9+52.77+53.11+52.73+53.23+52.47)/33</f>
        <v>53.581212121212118</v>
      </c>
      <c r="G10" s="129">
        <v>161</v>
      </c>
      <c r="H10" s="131">
        <v>0.10287037037037038</v>
      </c>
      <c r="I10" s="131">
        <f t="shared" si="0"/>
        <v>2.1817129629629645E-2</v>
      </c>
      <c r="J10" s="132">
        <f t="shared" ref="J10:J31" si="2">I10+J6</f>
        <v>3.5636574074074091E-2</v>
      </c>
      <c r="K10" s="165">
        <f t="shared" si="1"/>
        <v>1.8512121212121215</v>
      </c>
    </row>
    <row r="11" spans="1:11" s="2" customFormat="1" ht="30" customHeight="1">
      <c r="A11" s="134"/>
      <c r="B11" s="135">
        <v>6</v>
      </c>
      <c r="C11" s="129" t="s">
        <v>72</v>
      </c>
      <c r="D11" s="129">
        <v>7</v>
      </c>
      <c r="E11" s="129">
        <v>50.54</v>
      </c>
      <c r="F11" s="130">
        <f>(53.01+53.9+52.57+53.11+52.68+52.17+57.16+53.45+53.95+52.52+52.16+52.28+51.76+52.14+53.31+53.71+51.93+51.47+51.67+51.65+50.97+51.11+50.54+52.29+50.68+51.22+51.5+51.8+51.67+51.96+51.41+52.01+51.6)/33</f>
        <v>52.283636363636361</v>
      </c>
      <c r="G11" s="129">
        <v>195</v>
      </c>
      <c r="H11" s="131">
        <v>0.12417824074074074</v>
      </c>
      <c r="I11" s="131">
        <f t="shared" si="0"/>
        <v>2.1307870370370366E-2</v>
      </c>
      <c r="J11" s="132">
        <f t="shared" si="2"/>
        <v>5.321759259259258E-2</v>
      </c>
      <c r="K11" s="165">
        <f t="shared" si="1"/>
        <v>1.7436363636363623</v>
      </c>
    </row>
    <row r="12" spans="1:11" s="2" customFormat="1" ht="30" customHeight="1">
      <c r="A12" s="134"/>
      <c r="B12" s="135">
        <v>7</v>
      </c>
      <c r="C12" s="129" t="s">
        <v>77</v>
      </c>
      <c r="D12" s="129">
        <v>15</v>
      </c>
      <c r="E12" s="129">
        <v>49.82</v>
      </c>
      <c r="F12" s="130">
        <f>(54.23+54.93+54.03+53.92+53.75+53.44+53.15+52.61+53.08+52.49+52.62+52.19+52.32+51.84+52.39+52.63+51.77+53.15+52.52+51.99+51.53+51.69+51.41+51.43+51.44+51.37+50.81+52.15+51.18+54.83+51.07+50.38+50.45+50.64+50.59+50.52+50.66+55.82+50.4+50.3+50.38+50.36+50.27+51.58+52.35+49.97+49.97+50.07+49.85+50.29+50.39+49.82+50.88+49.7+59.85+50.83)/56</f>
        <v>51.86214285714285</v>
      </c>
      <c r="G12" s="129">
        <v>252</v>
      </c>
      <c r="H12" s="131">
        <v>0.15914351851851852</v>
      </c>
      <c r="I12" s="131">
        <f t="shared" si="0"/>
        <v>3.4965277777777776E-2</v>
      </c>
      <c r="J12" s="132">
        <f t="shared" si="2"/>
        <v>5.2002314814814828E-2</v>
      </c>
      <c r="K12" s="165">
        <f t="shared" si="1"/>
        <v>2.0421428571428493</v>
      </c>
    </row>
    <row r="13" spans="1:11" s="2" customFormat="1" ht="30" customHeight="1">
      <c r="A13" s="134"/>
      <c r="B13" s="135">
        <v>8</v>
      </c>
      <c r="C13" s="129" t="s">
        <v>81</v>
      </c>
      <c r="D13" s="129">
        <v>21</v>
      </c>
      <c r="E13" s="129">
        <v>50.47</v>
      </c>
      <c r="F13" s="130">
        <f>(52.56+52.67+52.53+51.94+52.06+51.59+52.24+51.23+51.28+51.01+51.23+50.78+51.12+50.57+50.47+50.58+50.8)/17</f>
        <v>51.45058823529412</v>
      </c>
      <c r="G13" s="129">
        <v>270</v>
      </c>
      <c r="H13" s="131">
        <v>0.17060185185185184</v>
      </c>
      <c r="I13" s="131">
        <f t="shared" si="0"/>
        <v>1.145833333333332E-2</v>
      </c>
      <c r="J13" s="132">
        <f t="shared" si="2"/>
        <v>2.9745370370370339E-2</v>
      </c>
      <c r="K13" s="165">
        <f t="shared" si="1"/>
        <v>0.98058823529412109</v>
      </c>
    </row>
    <row r="14" spans="1:11" s="2" customFormat="1" ht="30" customHeight="1">
      <c r="A14" s="134"/>
      <c r="B14" s="135">
        <v>9</v>
      </c>
      <c r="C14" s="129" t="s">
        <v>85</v>
      </c>
      <c r="D14" s="129">
        <v>3</v>
      </c>
      <c r="E14" s="129">
        <v>48.13</v>
      </c>
      <c r="F14" s="130">
        <f>(49.58+49.16+49.24+49.53+48.91+48.57+48.72+49.49+48.5+48.85+49.27+49.45+48.75+48.42+48.38+48.34+48.13+48.4+50.15+48.53+48.26+48.81+48.73+48.42+48.59+48.78+48.34+48.42+48.21+48.28+48.36+48.47+49.77+52.35+53.72)/35</f>
        <v>49.025142857142853</v>
      </c>
      <c r="G14" s="129">
        <v>306</v>
      </c>
      <c r="H14" s="131">
        <v>0.19177083333333333</v>
      </c>
      <c r="I14" s="131">
        <f t="shared" si="0"/>
        <v>2.1168981481481497E-2</v>
      </c>
      <c r="J14" s="132">
        <f t="shared" si="2"/>
        <v>5.6805555555555588E-2</v>
      </c>
      <c r="K14" s="165">
        <f t="shared" si="1"/>
        <v>0.8951428571428508</v>
      </c>
    </row>
    <row r="15" spans="1:11" s="2" customFormat="1" ht="30" customHeight="1" thickBot="1">
      <c r="A15" s="134"/>
      <c r="B15" s="135">
        <v>10</v>
      </c>
      <c r="C15" s="129" t="s">
        <v>72</v>
      </c>
      <c r="D15" s="129">
        <v>2</v>
      </c>
      <c r="E15" s="136">
        <v>49.65</v>
      </c>
      <c r="F15" s="130">
        <f>(50.96+50.47+50.81+52.59+51.22+52.24+51.54+50.36+50.39+50.73+50.57+50.27+50.01+50.36+49.91+50.06+51.53+49.78+50+49.76+50+49.65+49.8+52.36)/24</f>
        <v>50.64041666666666</v>
      </c>
      <c r="G15" s="129">
        <v>331</v>
      </c>
      <c r="H15" s="131">
        <v>0.20704861111111109</v>
      </c>
      <c r="I15" s="131">
        <f t="shared" si="0"/>
        <v>1.5277777777777751E-2</v>
      </c>
      <c r="J15" s="132">
        <f t="shared" si="2"/>
        <v>6.8495370370370331E-2</v>
      </c>
      <c r="K15" s="165">
        <f t="shared" si="1"/>
        <v>0.99041666666666117</v>
      </c>
    </row>
    <row r="16" spans="1:11" s="2" customFormat="1" ht="30" customHeight="1" thickBot="1">
      <c r="A16" s="134"/>
      <c r="B16" s="135">
        <v>11</v>
      </c>
      <c r="C16" s="129" t="s">
        <v>77</v>
      </c>
      <c r="D16" s="58">
        <v>1</v>
      </c>
      <c r="E16" s="137">
        <v>49</v>
      </c>
      <c r="F16" s="147">
        <f>(50.15+50.07+49.62+54.95+49.22+49.46+51.01+49.34+49.51+49.13+49.63+50.48+49.26+49.66+52.1+49.79+49.3+49+50.23+49.35+51.68+49.21+49.23+49.19+50.59+49.27+49.28+49.95)/28</f>
        <v>49.987857142857145</v>
      </c>
      <c r="G16" s="129">
        <v>360</v>
      </c>
      <c r="H16" s="131">
        <v>0.22487268518518519</v>
      </c>
      <c r="I16" s="131">
        <f t="shared" si="0"/>
        <v>1.7824074074074103E-2</v>
      </c>
      <c r="J16" s="132">
        <f t="shared" si="2"/>
        <v>6.9826388888888924E-2</v>
      </c>
      <c r="K16" s="165">
        <f t="shared" si="1"/>
        <v>0.98785714285714477</v>
      </c>
    </row>
    <row r="17" spans="1:12" s="2" customFormat="1" ht="30" customHeight="1" thickBot="1">
      <c r="A17" s="134"/>
      <c r="B17" s="135">
        <v>12</v>
      </c>
      <c r="C17" s="129" t="s">
        <v>81</v>
      </c>
      <c r="D17" s="58">
        <v>2</v>
      </c>
      <c r="E17" s="137">
        <v>49.21</v>
      </c>
      <c r="F17" s="147">
        <f>(49.98+50.13+49.54+50.37+50.33+49.87+50.21+50.89+50.15+49.38+50.04+49.75+52.91+49.48+49.78+50.34+50.31+50.31+49.93+49.87+49.72+49.21+50.4+50.44+49.93+50.01+49.7+49.93+49.45+49.58+49.95+59.59+50.15+50.73+50.55+51.65+51.73+51.65+51.81)/39</f>
        <v>50.50641025641027</v>
      </c>
      <c r="G17" s="129">
        <v>400</v>
      </c>
      <c r="H17" s="131">
        <v>0.24887731481481482</v>
      </c>
      <c r="I17" s="131">
        <f t="shared" si="0"/>
        <v>2.4004629629629626E-2</v>
      </c>
      <c r="J17" s="132">
        <f t="shared" si="2"/>
        <v>5.3749999999999964E-2</v>
      </c>
      <c r="K17" s="165">
        <f t="shared" si="1"/>
        <v>1.2964102564102689</v>
      </c>
    </row>
    <row r="18" spans="1:12" s="2" customFormat="1" ht="30" customHeight="1">
      <c r="A18" s="134"/>
      <c r="B18" s="135">
        <v>13</v>
      </c>
      <c r="C18" s="129" t="s">
        <v>85</v>
      </c>
      <c r="D18" s="129">
        <v>13</v>
      </c>
      <c r="E18" s="145">
        <v>52.22</v>
      </c>
      <c r="F18" s="130">
        <f>(54.36+53.71+53.98+54.38+54.59+53.35+53.56+53.56+53.32+53.14+53.69+52.97+52.76+54.04+53.52+53.23+53.68+54.19+54.74+53.2+54.12+54.45+54.11+54.12+53.41+54.42+53.87+52.97+53.26+53.41+53.69+53.69+53.16+53.06+52.48+52.13+52.48+52.42+52.22+52.71)/40</f>
        <v>53.503750000000004</v>
      </c>
      <c r="G18" s="129">
        <v>442</v>
      </c>
      <c r="H18" s="131">
        <v>0.27775462962962966</v>
      </c>
      <c r="I18" s="131">
        <f t="shared" si="0"/>
        <v>2.8877314814814842E-2</v>
      </c>
      <c r="J18" s="132">
        <f t="shared" si="2"/>
        <v>8.5682870370370423E-2</v>
      </c>
      <c r="K18" s="165">
        <f t="shared" si="1"/>
        <v>1.2837500000000048</v>
      </c>
    </row>
    <row r="19" spans="1:12" s="2" customFormat="1" ht="30" customHeight="1">
      <c r="A19" s="134"/>
      <c r="B19" s="135">
        <v>14</v>
      </c>
      <c r="C19" s="129" t="s">
        <v>72</v>
      </c>
      <c r="D19" s="129">
        <v>15</v>
      </c>
      <c r="E19" s="129">
        <v>52.53</v>
      </c>
      <c r="F19" s="130">
        <f>(58.52+58.21+55.89+55.16+54.56+54.93+54.54+53.93+53.48+52.99+53.29+52.56+55.1+52.61+53.86+52.53+52.69+53.33)/18</f>
        <v>54.343333333333334</v>
      </c>
      <c r="G19" s="129">
        <v>461</v>
      </c>
      <c r="H19" s="131">
        <v>0.29047453703703702</v>
      </c>
      <c r="I19" s="131">
        <f t="shared" si="0"/>
        <v>1.271990740740736E-2</v>
      </c>
      <c r="J19" s="132">
        <f t="shared" si="2"/>
        <v>8.1215277777777692E-2</v>
      </c>
      <c r="K19" s="165">
        <f t="shared" si="1"/>
        <v>1.8133333333333326</v>
      </c>
    </row>
    <row r="20" spans="1:12" s="2" customFormat="1" ht="30" customHeight="1">
      <c r="A20" s="134"/>
      <c r="B20" s="135">
        <v>15</v>
      </c>
      <c r="C20" s="129" t="s">
        <v>77</v>
      </c>
      <c r="D20" s="129">
        <v>12</v>
      </c>
      <c r="E20" s="129">
        <v>51.95</v>
      </c>
      <c r="F20" s="130">
        <f>(54.23+53.96+53.66+53.5+53.9+53.64+53.69+52.51+52.8+52.88+52.75+52.55+52.43+52.23+51.96+52.51+52.52+52.27+52.19+51.98+51.95+52.05+52.48+52.17+52.28+53.29)/26</f>
        <v>52.783846153846149</v>
      </c>
      <c r="G20" s="129">
        <v>488</v>
      </c>
      <c r="H20" s="131">
        <v>0.3077199074074074</v>
      </c>
      <c r="I20" s="131">
        <f t="shared" si="0"/>
        <v>1.7245370370370383E-2</v>
      </c>
      <c r="J20" s="132">
        <f t="shared" si="2"/>
        <v>8.7071759259259307E-2</v>
      </c>
      <c r="K20" s="165">
        <f t="shared" si="1"/>
        <v>0.83384615384614591</v>
      </c>
    </row>
    <row r="21" spans="1:12" s="2" customFormat="1" ht="30" customHeight="1">
      <c r="A21" s="134"/>
      <c r="B21" s="135">
        <v>16</v>
      </c>
      <c r="C21" s="129" t="s">
        <v>81</v>
      </c>
      <c r="D21" s="129">
        <v>2</v>
      </c>
      <c r="E21" s="129">
        <v>52.42</v>
      </c>
      <c r="F21" s="130">
        <f>(54.87+54.41+53.3+53.22+53.97+53.57+53.93+53.13+53.48+53.35+53.41+53.85+53.18+54.94+53.86+52.81+53.51+53.08+52.88+57.81+52.52+52.42+53.28+53.36)/24</f>
        <v>53.672499999999992</v>
      </c>
      <c r="G21" s="129">
        <v>514</v>
      </c>
      <c r="H21" s="131">
        <v>0.32521990740740742</v>
      </c>
      <c r="I21" s="131">
        <f t="shared" si="0"/>
        <v>1.7500000000000016E-2</v>
      </c>
      <c r="J21" s="132">
        <f t="shared" si="2"/>
        <v>7.124999999999998E-2</v>
      </c>
      <c r="K21" s="165">
        <f t="shared" si="1"/>
        <v>1.2524999999999906</v>
      </c>
    </row>
    <row r="22" spans="1:12" s="2" customFormat="1" ht="30" customHeight="1">
      <c r="A22" s="134"/>
      <c r="B22" s="135">
        <v>17</v>
      </c>
      <c r="C22" s="129" t="s">
        <v>85</v>
      </c>
      <c r="D22" s="129">
        <v>14</v>
      </c>
      <c r="E22" s="129">
        <v>50.74</v>
      </c>
      <c r="F22" s="130">
        <f>(52.12+52.23+51.72+52.2+51.29+51.36+51.28+51.25+51.4+51.23+51.2+51.29+50.74+51.37+51.28+52.6+52.07+52.59+51.69+55.12+52.2+52.51+51.66+51.72+51.79+52.05+51.81+51.9+52.15+51.69+52.5+52.53)/32</f>
        <v>51.891875000000006</v>
      </c>
      <c r="G22" s="129">
        <v>547</v>
      </c>
      <c r="H22" s="131">
        <v>0.34582175925925923</v>
      </c>
      <c r="I22" s="131">
        <f t="shared" si="0"/>
        <v>2.0601851851851816E-2</v>
      </c>
      <c r="J22" s="132">
        <f t="shared" si="2"/>
        <v>0.10628472222222224</v>
      </c>
      <c r="K22" s="165">
        <f t="shared" si="1"/>
        <v>1.151875000000004</v>
      </c>
    </row>
    <row r="23" spans="1:12" s="2" customFormat="1" ht="30" customHeight="1">
      <c r="A23" s="134"/>
      <c r="B23" s="135">
        <v>18</v>
      </c>
      <c r="C23" s="129" t="s">
        <v>72</v>
      </c>
      <c r="D23" s="129">
        <v>6</v>
      </c>
      <c r="E23" s="129">
        <v>51.04</v>
      </c>
      <c r="F23" s="130">
        <f>(52.85+52.73+52.83+52.82+53.25+53.22+52.83+52.7+52.31+52.79+52.34+52.89+53.45+51.94+51.49+51.95+51.16+51.04+52.19+51.28+51.57+51.5+51.26+53.27+52.35+52.11+51.92+51.63+51.54+51.44+51.49+51.82)/32</f>
        <v>52.186249999999994</v>
      </c>
      <c r="G23" s="129">
        <v>580</v>
      </c>
      <c r="H23" s="131">
        <v>0.36651620370370369</v>
      </c>
      <c r="I23" s="131">
        <f t="shared" si="0"/>
        <v>2.069444444444446E-2</v>
      </c>
      <c r="J23" s="132">
        <f t="shared" si="2"/>
        <v>0.10190972222222215</v>
      </c>
      <c r="K23" s="165">
        <f t="shared" si="1"/>
        <v>1.1462499999999949</v>
      </c>
    </row>
    <row r="24" spans="1:12" s="2" customFormat="1" ht="30" customHeight="1">
      <c r="A24" s="134"/>
      <c r="B24" s="135">
        <v>19</v>
      </c>
      <c r="C24" s="129" t="s">
        <v>77</v>
      </c>
      <c r="D24" s="129">
        <v>3</v>
      </c>
      <c r="E24" s="129">
        <v>49.68</v>
      </c>
      <c r="F24" s="130">
        <f>(51.11+51.15+50.56+50.47+50.72+50.67+50.91+51.15+53.93+51.03+51.27+51.09+51.03+50.66+50.78+50.7+50.53+50.33+52.65+55.39+50.4+52.03+50.9+50.16+50.02+49.81+49.68+49.74+50.74+50.66+50.43+50.96)/32</f>
        <v>50.989375000000017</v>
      </c>
      <c r="G24" s="129">
        <v>613</v>
      </c>
      <c r="H24" s="131">
        <v>0.38675925925925925</v>
      </c>
      <c r="I24" s="131">
        <f t="shared" si="0"/>
        <v>2.0243055555555556E-2</v>
      </c>
      <c r="J24" s="132">
        <f t="shared" si="2"/>
        <v>0.10731481481481486</v>
      </c>
      <c r="K24" s="165">
        <f t="shared" si="1"/>
        <v>1.3093750000000171</v>
      </c>
    </row>
    <row r="25" spans="1:12" s="2" customFormat="1" ht="30" customHeight="1">
      <c r="A25" s="134"/>
      <c r="B25" s="135">
        <v>20</v>
      </c>
      <c r="C25" s="129" t="s">
        <v>81</v>
      </c>
      <c r="D25" s="129">
        <v>15</v>
      </c>
      <c r="E25" s="129">
        <v>50.93</v>
      </c>
      <c r="F25" s="130">
        <f>(51.62+51.65+51.91+51.61+51.4+51.82+52.34+51.41+51.13+51.06+51.13+52.05+52.12+52.66+51.62+52.16+51.55+51.44+51.41+51.56+51.17+55.53+52.37+51.57+51.93+51.68+52.6+51.92+51.28+51.16+51.72+50.93+51.35+51.34+51.54)/35</f>
        <v>51.763999999999996</v>
      </c>
      <c r="G25" s="129">
        <v>649</v>
      </c>
      <c r="H25" s="131">
        <v>0.40925925925925927</v>
      </c>
      <c r="I25" s="131">
        <f t="shared" si="0"/>
        <v>2.250000000000002E-2</v>
      </c>
      <c r="J25" s="132">
        <f t="shared" si="2"/>
        <v>9.375E-2</v>
      </c>
      <c r="K25" s="165">
        <f t="shared" si="1"/>
        <v>0.83399999999999608</v>
      </c>
    </row>
    <row r="26" spans="1:12" s="2" customFormat="1" ht="30" customHeight="1" thickBot="1">
      <c r="A26" s="134"/>
      <c r="B26" s="135">
        <v>21</v>
      </c>
      <c r="C26" s="129" t="s">
        <v>85</v>
      </c>
      <c r="D26" s="129">
        <v>14</v>
      </c>
      <c r="E26" s="136">
        <v>48.87</v>
      </c>
      <c r="F26" s="130">
        <f>(51.74+51.49+51.62+51.08+51.32+50.75+50.76+50.66+51.14+50.84+51.04+50.76+50.35+50.46+50.41+50.07+50.65+50.05+50.29+50.33+50.21+49.77+50.06+49.94+50.06+49.77+49.97+50.91+50.24+49.98+50.13+49.43+49.53+49.1+49.46+52.78+49.42+51.18+49.17+48.93+49.11+48.87+49.02+49.23+48.98+49.67+49.13+49.16)/48</f>
        <v>50.187916666666673</v>
      </c>
      <c r="G26" s="129">
        <v>698</v>
      </c>
      <c r="H26" s="131">
        <v>0.43840277777777775</v>
      </c>
      <c r="I26" s="131">
        <f t="shared" si="0"/>
        <v>2.9143518518518485E-2</v>
      </c>
      <c r="J26" s="132">
        <f t="shared" si="2"/>
        <v>0.13542824074074072</v>
      </c>
      <c r="K26" s="165">
        <f t="shared" si="1"/>
        <v>1.317916666666676</v>
      </c>
    </row>
    <row r="27" spans="1:12" s="2" customFormat="1" ht="30" customHeight="1" thickBot="1">
      <c r="A27" s="134"/>
      <c r="B27" s="135">
        <v>22</v>
      </c>
      <c r="C27" s="129" t="s">
        <v>72</v>
      </c>
      <c r="D27" s="58">
        <v>1</v>
      </c>
      <c r="E27" s="137">
        <v>48.82</v>
      </c>
      <c r="F27" s="147">
        <f>(50.61+49.1+49.41+49.83+50.48+50.28+49.45+53.63+49.31+49.83+49.98+50.33+74.84+49.21+49.79+52.67+50.84+50.16+61.29+48.98+49.52+48.82+49.01+49.73+49.24+49.91+50.35+49.46+49.15+51.61)/30</f>
        <v>51.227333333333334</v>
      </c>
      <c r="G27" s="129">
        <v>730</v>
      </c>
      <c r="H27" s="131">
        <v>0.45868055555555554</v>
      </c>
      <c r="I27" s="131">
        <f t="shared" si="0"/>
        <v>2.0277777777777783E-2</v>
      </c>
      <c r="J27" s="132">
        <f t="shared" si="2"/>
        <v>0.12218749999999994</v>
      </c>
      <c r="K27" s="165">
        <f t="shared" si="1"/>
        <v>2.4073333333333338</v>
      </c>
    </row>
    <row r="28" spans="1:12" s="2" customFormat="1" ht="30" customHeight="1">
      <c r="A28" s="134"/>
      <c r="B28" s="135">
        <v>23</v>
      </c>
      <c r="C28" s="129" t="s">
        <v>77</v>
      </c>
      <c r="D28" s="129">
        <v>13</v>
      </c>
      <c r="E28" s="178">
        <v>49.33</v>
      </c>
      <c r="F28" s="179">
        <f>(50.6+49.86+50.35+49.63+51.27+51.89+50.2+50.04+50.83+50.23+49.9+49.83+49.43+49.66+49.71+49.42+49.39+49.33+49.9+49.75+50.18+49.79+49.83)/23</f>
        <v>50.044347826086955</v>
      </c>
      <c r="G28" s="129">
        <v>754</v>
      </c>
      <c r="H28" s="131">
        <v>0.47333333333333333</v>
      </c>
      <c r="I28" s="131">
        <f t="shared" si="0"/>
        <v>1.4652777777777792E-2</v>
      </c>
      <c r="J28" s="150">
        <f t="shared" si="2"/>
        <v>0.12196759259259266</v>
      </c>
      <c r="K28" s="180">
        <f t="shared" si="1"/>
        <v>0.71434782608695713</v>
      </c>
      <c r="L28" s="177">
        <f>AVERAGE(K28,K24,K20,K16,K12,K8)</f>
        <v>1.1211281633221855</v>
      </c>
    </row>
    <row r="29" spans="1:12" s="2" customFormat="1" ht="30" customHeight="1" thickBot="1">
      <c r="A29" s="134"/>
      <c r="B29" s="135">
        <v>24</v>
      </c>
      <c r="C29" s="129" t="s">
        <v>81</v>
      </c>
      <c r="D29" s="129">
        <v>14</v>
      </c>
      <c r="E29" s="149">
        <v>50.15</v>
      </c>
      <c r="F29" s="172">
        <f>(55.63+52.84+53.16+52.33+51.68+51.12+51.22+56.01+51.41+52.78+51.84+51.38+51.02+51.33+50.77+50.94+60.03+50.68+50.43+51.46+50.27+50.72+51.35+51.01+50.56+50.16+50.56+51.7+50.82+50.15+50.4+50.83+50.49)/33</f>
        <v>51.729696969696967</v>
      </c>
      <c r="G29" s="7">
        <v>788</v>
      </c>
      <c r="H29" s="131">
        <v>0.49442129629629633</v>
      </c>
      <c r="I29" s="131">
        <f t="shared" si="0"/>
        <v>2.1087962962963003E-2</v>
      </c>
      <c r="J29" s="146">
        <f t="shared" si="2"/>
        <v>0.114837962962963</v>
      </c>
      <c r="K29" s="165">
        <f t="shared" si="1"/>
        <v>1.5796969696969683</v>
      </c>
      <c r="L29" s="133">
        <f>AVERAGE(K29,K25,K21,K17,K13,K9)</f>
        <v>1.2186807250483713</v>
      </c>
    </row>
    <row r="30" spans="1:12" s="2" customFormat="1" ht="30" customHeight="1" thickBot="1">
      <c r="A30" s="134"/>
      <c r="B30" s="135">
        <v>25</v>
      </c>
      <c r="C30" s="129" t="s">
        <v>85</v>
      </c>
      <c r="D30" s="58">
        <v>3</v>
      </c>
      <c r="E30" s="148">
        <v>47.53</v>
      </c>
      <c r="F30" s="140">
        <f>(50.55+50.14+49.73+49.85+49.68+49.41+50.54+51.62+49.88+48.79+48.63+49.01+49.13+48.8+48.32+48.3+48.25+48.53+48.73+48.75+49.05+48.3+47.88+49.55+48.63+48.38+48.25+48.78+48.57+49.46+48.96+48.6+48.22+48.47+48.35+48.49+48.11+47.75+47.98+48.17+48.01+48.59+49.82+48+47.77+47.53+49.56+48.57)/48</f>
        <v>48.842500000000008</v>
      </c>
      <c r="G30" s="141">
        <v>838</v>
      </c>
      <c r="H30" s="131">
        <v>0.52440972222222226</v>
      </c>
      <c r="I30" s="131">
        <f>H30-H29</f>
        <v>2.9988425925925932E-2</v>
      </c>
      <c r="J30" s="154">
        <f t="shared" si="2"/>
        <v>0.16541666666666666</v>
      </c>
      <c r="K30" s="165">
        <f t="shared" si="1"/>
        <v>1.3125000000000071</v>
      </c>
      <c r="L30" s="133">
        <f>AVERAGE(K30,K26,K22,K18,K14,K10,K6)</f>
        <v>1.3159267934446544</v>
      </c>
    </row>
    <row r="31" spans="1:12" s="2" customFormat="1" ht="30" customHeight="1" thickBot="1">
      <c r="A31" s="152"/>
      <c r="B31" s="153" t="s">
        <v>162</v>
      </c>
      <c r="C31" s="129" t="s">
        <v>72</v>
      </c>
      <c r="D31" s="129">
        <v>7</v>
      </c>
      <c r="E31" s="145">
        <v>50.59</v>
      </c>
      <c r="F31" s="196">
        <f>(51.63+51.46+52.22+50.68+52.05+52.17+52.88+51.34+52.8+52.24+52.29+52.92+51.55+51.31+51.89+50.59+51.17+50.74+52.04+50.85+50.78+51.34+50.69+60.01+51.97+51.33+51.3+51.26)/28</f>
        <v>51.910714285714278</v>
      </c>
      <c r="G31" s="129">
        <v>867</v>
      </c>
      <c r="H31" s="131">
        <v>0.54200231481481487</v>
      </c>
      <c r="I31" s="131">
        <f t="shared" si="0"/>
        <v>1.7592592592592604E-2</v>
      </c>
      <c r="J31" s="151">
        <f t="shared" si="2"/>
        <v>0.13978009259259255</v>
      </c>
      <c r="K31" s="165">
        <f t="shared" si="1"/>
        <v>1.3207142857142742</v>
      </c>
      <c r="L31" s="133">
        <f>AVERAGE(K31,K27,K23,K19,K15,K11,K7)</f>
        <v>1.549983426097709</v>
      </c>
    </row>
    <row r="32" spans="1:12">
      <c r="E32" s="197">
        <f>AVERAGE(E6:E31)</f>
        <v>50.586153846153834</v>
      </c>
      <c r="F32" s="197">
        <f>AVERAGE(F6:F31)</f>
        <v>51.897700956423833</v>
      </c>
    </row>
  </sheetData>
  <mergeCells count="12">
    <mergeCell ref="I4:J4"/>
    <mergeCell ref="A6:A31"/>
    <mergeCell ref="A1:J1"/>
    <mergeCell ref="A3:J3"/>
    <mergeCell ref="A4:A5"/>
    <mergeCell ref="B4:B5"/>
    <mergeCell ref="C4:C5"/>
    <mergeCell ref="D4:D5"/>
    <mergeCell ref="E4:E5"/>
    <mergeCell ref="F4:F5"/>
    <mergeCell ref="G4:G5"/>
    <mergeCell ref="H4:H5"/>
  </mergeCells>
  <pageMargins left="0.31496062992125984" right="0.31496062992125984" top="0.55118110236220474" bottom="0.11811023622047245" header="0.31496062992125984" footer="0.31496062992125984"/>
  <pageSetup paperSize="9" scale="93" orientation="portrait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zoomScale="75" zoomScaleNormal="75" workbookViewId="0">
      <selection activeCell="F29" sqref="F29"/>
    </sheetView>
  </sheetViews>
  <sheetFormatPr defaultRowHeight="15"/>
  <cols>
    <col min="1" max="1" width="10.5703125" customWidth="1"/>
    <col min="2" max="2" width="7.28515625" customWidth="1"/>
    <col min="3" max="3" width="20.85546875" bestFit="1" customWidth="1"/>
    <col min="4" max="4" width="8.85546875" style="1" customWidth="1"/>
    <col min="5" max="5" width="11.28515625" style="1" customWidth="1"/>
    <col min="6" max="6" width="16" style="1" customWidth="1"/>
    <col min="7" max="7" width="9.42578125" style="1" customWidth="1"/>
    <col min="8" max="8" width="18.5703125" style="1" customWidth="1"/>
    <col min="9" max="9" width="12.85546875" style="1" customWidth="1"/>
    <col min="10" max="10" width="17.5703125" style="1" customWidth="1"/>
    <col min="11" max="11" width="7.42578125" style="198" customWidth="1"/>
    <col min="12" max="12" width="0.42578125" customWidth="1"/>
  </cols>
  <sheetData>
    <row r="1" spans="1:11" ht="19.5">
      <c r="A1" s="94" t="s">
        <v>146</v>
      </c>
      <c r="B1" s="94"/>
      <c r="C1" s="94"/>
      <c r="D1" s="94"/>
      <c r="E1" s="94"/>
      <c r="F1" s="94"/>
      <c r="G1" s="94"/>
      <c r="H1" s="94"/>
      <c r="I1" s="94"/>
      <c r="J1" s="94"/>
    </row>
    <row r="2" spans="1:11" ht="10.5" customHeight="1"/>
    <row r="3" spans="1:11" ht="15.75" customHeight="1" thickBot="1">
      <c r="A3" s="95" t="s">
        <v>147</v>
      </c>
      <c r="B3" s="95"/>
      <c r="C3" s="95"/>
      <c r="D3" s="95"/>
      <c r="E3" s="95"/>
      <c r="F3" s="95"/>
      <c r="G3" s="95"/>
      <c r="H3" s="95"/>
      <c r="I3" s="95"/>
      <c r="J3" s="95"/>
    </row>
    <row r="4" spans="1:11" s="1" customFormat="1" ht="25.5" customHeight="1">
      <c r="A4" s="114" t="s">
        <v>148</v>
      </c>
      <c r="B4" s="115" t="s">
        <v>149</v>
      </c>
      <c r="C4" s="115" t="s">
        <v>32</v>
      </c>
      <c r="D4" s="116" t="s">
        <v>150</v>
      </c>
      <c r="E4" s="117" t="s">
        <v>151</v>
      </c>
      <c r="F4" s="118" t="s">
        <v>152</v>
      </c>
      <c r="G4" s="115" t="s">
        <v>153</v>
      </c>
      <c r="H4" s="115" t="s">
        <v>154</v>
      </c>
      <c r="I4" s="96" t="s">
        <v>155</v>
      </c>
      <c r="J4" s="119"/>
      <c r="K4" s="198"/>
    </row>
    <row r="5" spans="1:11" s="1" customFormat="1" ht="22.5" customHeight="1" thickBot="1">
      <c r="A5" s="120"/>
      <c r="B5" s="121"/>
      <c r="C5" s="121"/>
      <c r="D5" s="122"/>
      <c r="E5" s="123"/>
      <c r="F5" s="124"/>
      <c r="G5" s="121"/>
      <c r="H5" s="121"/>
      <c r="I5" s="125" t="s">
        <v>156</v>
      </c>
      <c r="J5" s="125" t="s">
        <v>157</v>
      </c>
      <c r="K5" s="199" t="s">
        <v>164</v>
      </c>
    </row>
    <row r="6" spans="1:11" s="2" customFormat="1" ht="30" customHeight="1">
      <c r="A6" s="127" t="s">
        <v>20</v>
      </c>
      <c r="B6" s="25">
        <v>1</v>
      </c>
      <c r="C6" s="161" t="s">
        <v>59</v>
      </c>
      <c r="D6" s="161">
        <v>2</v>
      </c>
      <c r="E6" s="161">
        <v>52.77</v>
      </c>
      <c r="F6" s="161">
        <f>(58.03+55.84+56.17+55.6+55.51+55.49+56.43+55.07+54.57+54.97+54.56+54.46+54.53+53.91+53.9+53.7+53.96+53.77+53.34+53.42+54.1+52.77+53.54+53.8+53.41)/25</f>
        <v>54.593999999999994</v>
      </c>
      <c r="G6" s="161">
        <v>25</v>
      </c>
      <c r="H6" s="163">
        <v>1.5891203703703703E-2</v>
      </c>
      <c r="I6" s="163">
        <f>H6</f>
        <v>1.5891203703703703E-2</v>
      </c>
      <c r="J6" s="164">
        <f>I6</f>
        <v>1.5891203703703703E-2</v>
      </c>
      <c r="K6" s="199">
        <f>F6-E6</f>
        <v>1.823999999999991</v>
      </c>
    </row>
    <row r="7" spans="1:11" s="2" customFormat="1" ht="30" customHeight="1">
      <c r="A7" s="134"/>
      <c r="B7" s="20">
        <v>2</v>
      </c>
      <c r="C7" s="129" t="s">
        <v>54</v>
      </c>
      <c r="D7" s="129">
        <v>5</v>
      </c>
      <c r="E7" s="129">
        <v>54.6</v>
      </c>
      <c r="F7" s="130">
        <f>(57.05+55.16+55.55+55.11+56.38+56.77+55.49+60.97+56.31+55.02+54.64+54.83+56.77+55.03+55.21+54.76+55.21+55.04+54.63+56.17+55.39+55.43+54.6+55.09+56.28+55.37+58.38+59.21+55.21+55.73+54.68+56.24+55.05+54.91+55.5+64.31+55.06+55.11+55.76+55.9+55.07+55.41+55.33+58.08)/44</f>
        <v>55.981818181818198</v>
      </c>
      <c r="G7" s="129">
        <v>70</v>
      </c>
      <c r="H7" s="131">
        <v>4.5798611111111109E-2</v>
      </c>
      <c r="I7" s="131">
        <f t="shared" ref="I7:I31" si="0">H7-H6</f>
        <v>2.9907407407407407E-2</v>
      </c>
      <c r="J7" s="132">
        <f>I7</f>
        <v>2.9907407407407407E-2</v>
      </c>
      <c r="K7" s="199">
        <f t="shared" ref="K7:K31" si="1">F7-E7</f>
        <v>1.3818181818181969</v>
      </c>
    </row>
    <row r="8" spans="1:11" s="2" customFormat="1" ht="30" customHeight="1">
      <c r="A8" s="134"/>
      <c r="B8" s="20">
        <v>3</v>
      </c>
      <c r="C8" s="129" t="s">
        <v>128</v>
      </c>
      <c r="D8" s="129">
        <v>6</v>
      </c>
      <c r="E8" s="129">
        <v>53.13</v>
      </c>
      <c r="F8" s="130">
        <f>(55.63+57.04+55.52+55.05+54.66+55.28+59.09+54.42+61.26+55.16+54.02+55.55+55.31+60.85+59.33+54.53+54.74+55.46+53.18+54.69+54.45+55.79+53.89+53.13+66.51)/25</f>
        <v>56.181600000000017</v>
      </c>
      <c r="G8" s="129">
        <v>96</v>
      </c>
      <c r="H8" s="131">
        <v>6.3437499999999994E-2</v>
      </c>
      <c r="I8" s="131">
        <f t="shared" si="0"/>
        <v>1.7638888888888885E-2</v>
      </c>
      <c r="J8" s="132">
        <f>I8</f>
        <v>1.7638888888888885E-2</v>
      </c>
      <c r="K8" s="199">
        <f t="shared" si="1"/>
        <v>3.0516000000000147</v>
      </c>
    </row>
    <row r="9" spans="1:11" s="2" customFormat="1" ht="30" customHeight="1">
      <c r="A9" s="134"/>
      <c r="B9" s="20">
        <v>4</v>
      </c>
      <c r="C9" s="129" t="s">
        <v>67</v>
      </c>
      <c r="D9" s="129">
        <v>2</v>
      </c>
      <c r="E9" s="129">
        <v>53.78</v>
      </c>
      <c r="F9" s="130">
        <f>(55.69+56.53+56.73+55.91+55.9+56.09+55.56+55.22+56.18+55.65+55.03+55.22+54.92+54.39+54.82+55.3+54.68+54.91+54.47+54.65+54.9+54.23+53.94+64.92+54.4+53.78+54.96)/27</f>
        <v>55.517777777777788</v>
      </c>
      <c r="G9" s="129">
        <v>124</v>
      </c>
      <c r="H9" s="131">
        <v>8.2152777777777783E-2</v>
      </c>
      <c r="I9" s="131">
        <f t="shared" si="0"/>
        <v>1.8715277777777789E-2</v>
      </c>
      <c r="J9" s="132">
        <f>I9</f>
        <v>1.8715277777777789E-2</v>
      </c>
      <c r="K9" s="199">
        <f t="shared" si="1"/>
        <v>1.7377777777777865</v>
      </c>
    </row>
    <row r="10" spans="1:11" s="2" customFormat="1" ht="30" customHeight="1">
      <c r="A10" s="134"/>
      <c r="B10" s="20">
        <v>5</v>
      </c>
      <c r="C10" s="129" t="s">
        <v>59</v>
      </c>
      <c r="D10" s="129">
        <v>15</v>
      </c>
      <c r="E10" s="129">
        <v>51.92</v>
      </c>
      <c r="F10" s="130">
        <f>(55.61+53.5+53.29+53.61+53.15+53.73+53.03+52.61+53.52+55.15+55.95+55.52+55.67+52.64+52.66+52.27+52.26+52.45+52.78+55.02+52.31+51.92+52.96+52.3+54.48+53.25+52.26+53.12+52.79+53.37+52.84+52.9+53.34+53.93+53.22+54.17+55.02)/37</f>
        <v>53.475675675675667</v>
      </c>
      <c r="G10" s="129">
        <v>162</v>
      </c>
      <c r="H10" s="131">
        <v>0.10643518518518519</v>
      </c>
      <c r="I10" s="131">
        <f t="shared" si="0"/>
        <v>2.4282407407407405E-2</v>
      </c>
      <c r="J10" s="132">
        <f>I10+J6</f>
        <v>4.0173611111111104E-2</v>
      </c>
      <c r="K10" s="199">
        <f t="shared" si="1"/>
        <v>1.5556756756756656</v>
      </c>
    </row>
    <row r="11" spans="1:11" s="2" customFormat="1" ht="30" customHeight="1">
      <c r="A11" s="134"/>
      <c r="B11" s="20">
        <v>6</v>
      </c>
      <c r="C11" s="129" t="s">
        <v>63</v>
      </c>
      <c r="D11" s="129">
        <v>5</v>
      </c>
      <c r="E11" s="129">
        <v>54.89</v>
      </c>
      <c r="F11" s="130">
        <f>(57+56.4+56.48+55.74+55.56+55.88+55.95+65.45+55.41+56.62+55.43+56.04+54.93+54.75+56.66+55.09+55.8+54.94+54.97+54.89+55.03)/21</f>
        <v>56.143809523809523</v>
      </c>
      <c r="G11" s="129">
        <v>184</v>
      </c>
      <c r="H11" s="131">
        <v>0.12136574074074075</v>
      </c>
      <c r="I11" s="131">
        <f t="shared" si="0"/>
        <v>1.4930555555555558E-2</v>
      </c>
      <c r="J11" s="132">
        <f>I11</f>
        <v>1.4930555555555558E-2</v>
      </c>
      <c r="K11" s="199">
        <f t="shared" si="1"/>
        <v>1.2538095238095224</v>
      </c>
    </row>
    <row r="12" spans="1:11" s="2" customFormat="1" ht="30" customHeight="1">
      <c r="A12" s="134"/>
      <c r="B12" s="20">
        <v>7</v>
      </c>
      <c r="C12" s="129" t="s">
        <v>128</v>
      </c>
      <c r="D12" s="129">
        <v>21</v>
      </c>
      <c r="E12" s="129">
        <v>52.92</v>
      </c>
      <c r="F12" s="130">
        <f>(54.87+54.67+56.17+61.42+54.4+54.66+53.78+58.94+54.2+57.32+57.51+53.75+56.5+53.44+57.61+53.37+52.92+52.96)/18</f>
        <v>55.471666666666664</v>
      </c>
      <c r="G12" s="129">
        <v>203</v>
      </c>
      <c r="H12" s="131">
        <v>0.13427083333333334</v>
      </c>
      <c r="I12" s="131">
        <f t="shared" si="0"/>
        <v>1.2905092592592593E-2</v>
      </c>
      <c r="J12" s="132">
        <f>I12+J8</f>
        <v>3.0543981481481478E-2</v>
      </c>
      <c r="K12" s="199">
        <f t="shared" si="1"/>
        <v>2.5516666666666623</v>
      </c>
    </row>
    <row r="13" spans="1:11" s="2" customFormat="1" ht="30" customHeight="1" thickBot="1">
      <c r="A13" s="134"/>
      <c r="B13" s="20">
        <v>8</v>
      </c>
      <c r="C13" s="129" t="s">
        <v>67</v>
      </c>
      <c r="D13" s="129">
        <v>13</v>
      </c>
      <c r="E13" s="136">
        <v>50.62</v>
      </c>
      <c r="F13" s="172">
        <f>(52.57+52.48+52.71+52.57+53.21+52.1+52.91+57.56+51.79+51.67+51.19+51.57+51.31+51.58+51.43+50.82+50.65+52.73+51.07+51.3+52.24+51.07+51.32+52.56+53.43+54.4+55.25+57.18+53.25+53.55+51.07+51.88+51.51+52.37+51.24+50.62+50.8+50.79+50.79)/39</f>
        <v>52.270256410256408</v>
      </c>
      <c r="G13" s="129">
        <v>243</v>
      </c>
      <c r="H13" s="131">
        <v>0.15925925925925927</v>
      </c>
      <c r="I13" s="131">
        <f t="shared" si="0"/>
        <v>2.4988425925925928E-2</v>
      </c>
      <c r="J13" s="132">
        <f>I13+J9</f>
        <v>4.3703703703703717E-2</v>
      </c>
      <c r="K13" s="199">
        <f t="shared" si="1"/>
        <v>1.6502564102564108</v>
      </c>
    </row>
    <row r="14" spans="1:11" s="2" customFormat="1" ht="30" customHeight="1" thickBot="1">
      <c r="A14" s="134"/>
      <c r="B14" s="20">
        <v>9</v>
      </c>
      <c r="C14" s="129" t="s">
        <v>59</v>
      </c>
      <c r="D14" s="58">
        <v>10</v>
      </c>
      <c r="E14" s="148">
        <v>47.65</v>
      </c>
      <c r="F14" s="200">
        <f>(51.8+50.54+50.98+50.15+50.5+50.26+50.81+51.21+51.38+50.87+51.26+50.74+48.99+49.59+49.32+49.19+49.12+55.29+49.97+49.37+49.7+49.27+49.2+48.87+49.22+48.62+49.05+48.37+48.8+48.82+48.35+48.2+48.43+50.26+49.02+48.33+48.62+48.59+47.89+49.3+48.05+47.65+48.67+48.63+48.43+47.8+47.82+49.08+48.2+48.52+48.66+50.21)/52</f>
        <v>49.422499999999985</v>
      </c>
      <c r="G14" s="141">
        <v>296</v>
      </c>
      <c r="H14" s="131">
        <v>0.19034722222222222</v>
      </c>
      <c r="I14" s="131">
        <f t="shared" si="0"/>
        <v>3.1087962962962956E-2</v>
      </c>
      <c r="J14" s="132">
        <f>I14+J10</f>
        <v>7.1261574074074061E-2</v>
      </c>
      <c r="K14" s="199">
        <f t="shared" si="1"/>
        <v>1.7724999999999866</v>
      </c>
    </row>
    <row r="15" spans="1:11" s="2" customFormat="1" ht="30" customHeight="1" thickBot="1">
      <c r="A15" s="134"/>
      <c r="B15" s="20">
        <v>10</v>
      </c>
      <c r="C15" s="129" t="s">
        <v>54</v>
      </c>
      <c r="D15" s="58">
        <v>13</v>
      </c>
      <c r="E15" s="137">
        <v>50.55</v>
      </c>
      <c r="F15" s="174">
        <f>(52.22+52.53+52.42+52.73+52.22+51.63+52.18+52.97+51.52+51.24+51.08+51.79+51.76+51.04+50.98+52.36+51.73+50.92+61.24+51.47+51.09+50.94+50.89+50.55+51.27+50.92+50.48)/27</f>
        <v>51.932222222222222</v>
      </c>
      <c r="G15" s="129">
        <v>324</v>
      </c>
      <c r="H15" s="131">
        <v>0.20793981481481483</v>
      </c>
      <c r="I15" s="131">
        <f t="shared" si="0"/>
        <v>1.7592592592592604E-2</v>
      </c>
      <c r="J15" s="132">
        <f>I15+J7</f>
        <v>4.7500000000000014E-2</v>
      </c>
      <c r="K15" s="199">
        <f t="shared" si="1"/>
        <v>1.3822222222222251</v>
      </c>
    </row>
    <row r="16" spans="1:11" s="2" customFormat="1" ht="30" customHeight="1" thickBot="1">
      <c r="A16" s="134"/>
      <c r="B16" s="20">
        <v>11</v>
      </c>
      <c r="C16" s="129" t="s">
        <v>63</v>
      </c>
      <c r="D16" s="58">
        <v>11</v>
      </c>
      <c r="E16" s="137">
        <v>51.18</v>
      </c>
      <c r="F16" s="147">
        <f>(52.35+53.39+53.13+57.28+57.27+52.4+52.78+52.47+52.23+54.02+51.95+53.04+52.71+52.29+52+52.39+51.29+56.07+51.93+51.42+52.4+51.24+52.92+51.71+51.18)/25</f>
        <v>52.874400000000016</v>
      </c>
      <c r="G16" s="129">
        <v>350</v>
      </c>
      <c r="H16" s="131">
        <v>0.22464120370370369</v>
      </c>
      <c r="I16" s="131">
        <f t="shared" si="0"/>
        <v>1.6701388888888863E-2</v>
      </c>
      <c r="J16" s="132">
        <f>I16+J11</f>
        <v>3.1631944444444421E-2</v>
      </c>
      <c r="K16" s="199">
        <f t="shared" si="1"/>
        <v>1.6944000000000159</v>
      </c>
    </row>
    <row r="17" spans="1:14" s="2" customFormat="1" ht="30" customHeight="1">
      <c r="A17" s="134"/>
      <c r="B17" s="20">
        <v>12</v>
      </c>
      <c r="C17" s="129" t="s">
        <v>128</v>
      </c>
      <c r="D17" s="129">
        <v>6</v>
      </c>
      <c r="E17" s="145">
        <v>51.14</v>
      </c>
      <c r="F17" s="130">
        <f>(51.57+58.82+51.4+51.54+52.15+51.53+56.25+54.91+51.24+51.3+53.85+51.41+67.46+52.22+51.76+53.36+51.16+51.14+51.85+53.03+52.63+54.98+59.93+53.19+52.42+52.73+53.6+56.5+52.73+57.45+52.63+60.27+57.33+53.64+60.57+56.51)/36</f>
        <v>54.307222222222236</v>
      </c>
      <c r="G17" s="129">
        <v>387</v>
      </c>
      <c r="H17" s="131">
        <v>0.24858796296296296</v>
      </c>
      <c r="I17" s="131">
        <f t="shared" si="0"/>
        <v>2.3946759259259265E-2</v>
      </c>
      <c r="J17" s="132">
        <f>I17+J12</f>
        <v>5.4490740740740742E-2</v>
      </c>
      <c r="K17" s="199">
        <f t="shared" si="1"/>
        <v>3.1672222222222359</v>
      </c>
    </row>
    <row r="18" spans="1:14" s="2" customFormat="1" ht="30" customHeight="1">
      <c r="A18" s="134"/>
      <c r="B18" s="20">
        <v>13</v>
      </c>
      <c r="C18" s="129" t="s">
        <v>63</v>
      </c>
      <c r="D18" s="129">
        <v>5</v>
      </c>
      <c r="E18" s="129">
        <v>56.93</v>
      </c>
      <c r="F18" s="130">
        <f>(58.13+58.52+58.23+58.11+58.23+57.88+57.71+57.74+57.87+57.88+57.48+57.35+58.54+56.93+58.28+60.3+58.16+57.25+59.85)/19</f>
        <v>58.128421052631559</v>
      </c>
      <c r="G18" s="129">
        <v>407</v>
      </c>
      <c r="H18" s="131">
        <v>0.26276620370370368</v>
      </c>
      <c r="I18" s="131">
        <f t="shared" si="0"/>
        <v>1.4178240740740727E-2</v>
      </c>
      <c r="J18" s="132">
        <f>I18+J16</f>
        <v>4.5810185185185148E-2</v>
      </c>
      <c r="K18" s="199">
        <f t="shared" si="1"/>
        <v>1.1984210526315593</v>
      </c>
    </row>
    <row r="19" spans="1:14" s="2" customFormat="1" ht="30" customHeight="1">
      <c r="A19" s="134"/>
      <c r="B19" s="20">
        <v>14</v>
      </c>
      <c r="C19" s="129" t="s">
        <v>54</v>
      </c>
      <c r="D19" s="129">
        <v>12</v>
      </c>
      <c r="E19" s="129">
        <v>54.35</v>
      </c>
      <c r="F19" s="130">
        <f>(58.34+58.12+56.38+56.54+57.1+60.53+56.09+60.43+55.59+56.6+55.33+55.11+54.78+54.49+54.86+55.79+54.27+54.35)/18</f>
        <v>56.372222222222227</v>
      </c>
      <c r="G19" s="129">
        <v>427</v>
      </c>
      <c r="H19" s="131">
        <v>0.27872685185185186</v>
      </c>
      <c r="I19" s="131">
        <f t="shared" si="0"/>
        <v>1.5960648148148182E-2</v>
      </c>
      <c r="J19" s="132">
        <f>I19+J15</f>
        <v>6.3460648148148197E-2</v>
      </c>
      <c r="K19" s="199">
        <f t="shared" si="1"/>
        <v>2.0222222222222257</v>
      </c>
    </row>
    <row r="20" spans="1:14" s="2" customFormat="1" ht="30" customHeight="1">
      <c r="A20" s="134"/>
      <c r="B20" s="20">
        <v>15</v>
      </c>
      <c r="C20" s="129" t="s">
        <v>67</v>
      </c>
      <c r="D20" s="129">
        <v>10</v>
      </c>
      <c r="E20" s="129">
        <v>50.1</v>
      </c>
      <c r="F20" s="130">
        <f>(53.7+53.03+53.22+52.88+53.25+52.33+52.2+52.86+52.67+52.21+52.18+51.75+53.4+53.3+51.36+51.46+51.63+50.88+51.23+50.88+50.81+51.01+52.38+51.27+51.25+51.05+51.27+50.8+50.91+51.12+50.56+50.63+51.19+50.28+50.1+50.12+51.18+52.06+52.06+51.22+51+51.52+52.69+50.16+51.05+53.27+50.85)/47</f>
        <v>51.664468085106371</v>
      </c>
      <c r="G20" s="129">
        <v>475</v>
      </c>
      <c r="H20" s="131">
        <v>0.30831018518518521</v>
      </c>
      <c r="I20" s="131">
        <f t="shared" si="0"/>
        <v>2.958333333333335E-2</v>
      </c>
      <c r="J20" s="132">
        <f>I20+J13</f>
        <v>7.3287037037037067E-2</v>
      </c>
      <c r="K20" s="199">
        <f t="shared" si="1"/>
        <v>1.5644680851063697</v>
      </c>
    </row>
    <row r="21" spans="1:14" s="2" customFormat="1" ht="30" customHeight="1">
      <c r="A21" s="134"/>
      <c r="B21" s="20">
        <v>16</v>
      </c>
      <c r="C21" s="129" t="s">
        <v>59</v>
      </c>
      <c r="D21" s="129">
        <v>21</v>
      </c>
      <c r="E21" s="129">
        <v>50.86</v>
      </c>
      <c r="F21" s="130">
        <f>(53.86+53.76+53.66+63.06+52.83+52.64+52.77+52.28+52.23+52.19+51.59+51.54+52.84+51.28+51.3+51.92+51.52+51.5+52.39+51.87+51.89+51.7+51.29+51.66+51.66+51.33+51.41+62.6+52.15+52.47+51.54+51.41+51.33+50.86+53.52+51.24)/36</f>
        <v>52.641388888888883</v>
      </c>
      <c r="G21" s="129">
        <v>512</v>
      </c>
      <c r="H21" s="131">
        <v>0.33150462962962962</v>
      </c>
      <c r="I21" s="131">
        <f t="shared" si="0"/>
        <v>2.3194444444444406E-2</v>
      </c>
      <c r="J21" s="132">
        <f>I21+J14</f>
        <v>9.4456018518518467E-2</v>
      </c>
      <c r="K21" s="199">
        <f t="shared" si="1"/>
        <v>1.781388888888884</v>
      </c>
    </row>
    <row r="22" spans="1:14" s="2" customFormat="1" ht="30" customHeight="1">
      <c r="A22" s="134"/>
      <c r="B22" s="20">
        <v>17</v>
      </c>
      <c r="C22" s="129" t="s">
        <v>63</v>
      </c>
      <c r="D22" s="129">
        <v>12</v>
      </c>
      <c r="E22" s="129">
        <v>52.34</v>
      </c>
      <c r="F22" s="130">
        <f>(54.52+54.15+61.97+53.07+53.41+52.95+53.62+53.32+53.16+52.7+59.08+52.41+53.05+53.32+52.88+52.93+52.53+54.28+53.05+52.83+53.54+57.62+52.88+53.09+54.11+56.32+54.06+52.34+53.3+53.66+55.02+53.85)/32</f>
        <v>54.031874999999978</v>
      </c>
      <c r="G22" s="129">
        <v>545</v>
      </c>
      <c r="H22" s="131">
        <v>0.35290509259259256</v>
      </c>
      <c r="I22" s="131">
        <f t="shared" si="0"/>
        <v>2.1400462962962941E-2</v>
      </c>
      <c r="J22" s="132">
        <f>I22+J18</f>
        <v>6.7210648148148089E-2</v>
      </c>
      <c r="K22" s="199">
        <f t="shared" si="1"/>
        <v>1.6918749999999747</v>
      </c>
    </row>
    <row r="23" spans="1:14" s="2" customFormat="1" ht="30" customHeight="1">
      <c r="A23" s="134"/>
      <c r="B23" s="20">
        <v>18</v>
      </c>
      <c r="C23" s="129" t="s">
        <v>128</v>
      </c>
      <c r="D23" s="129">
        <v>5</v>
      </c>
      <c r="E23" s="129">
        <v>53.27</v>
      </c>
      <c r="F23" s="130">
        <f>(60.45+59.29+55.98+61.05+54.5+54.18+58.72+61.24+54.14+60.01+58.01+67.82+53.59+56.78+53.93+53.38+57.63+53.89+53.27)/19</f>
        <v>57.255789473684203</v>
      </c>
      <c r="G23" s="129">
        <v>566</v>
      </c>
      <c r="H23" s="131">
        <v>0.3669675925925926</v>
      </c>
      <c r="I23" s="131">
        <f t="shared" si="0"/>
        <v>1.4062500000000033E-2</v>
      </c>
      <c r="J23" s="132">
        <f>I23+J17</f>
        <v>6.8553240740740776E-2</v>
      </c>
      <c r="K23" s="199">
        <f t="shared" si="1"/>
        <v>3.9857894736841999</v>
      </c>
    </row>
    <row r="24" spans="1:14" s="2" customFormat="1" ht="30" customHeight="1">
      <c r="A24" s="134"/>
      <c r="B24" s="20">
        <v>19</v>
      </c>
      <c r="C24" s="129" t="s">
        <v>54</v>
      </c>
      <c r="D24" s="129">
        <v>12</v>
      </c>
      <c r="E24" s="129">
        <v>51.36</v>
      </c>
      <c r="F24" s="130">
        <f>(53.48+53.16+53.78+60.93+53.92+53.66+54.17+53.08+53.95+53.1+52.72+52.41+52.9+52.57+55.15+51.95+52.55+52.98+52.41+53.07+53.39+52+51.36+56.68+51.84+53.04+52.2+52.02+57.9+52.61+52.68)/31</f>
        <v>53.472903225806448</v>
      </c>
      <c r="G24" s="129">
        <v>598</v>
      </c>
      <c r="H24" s="131">
        <v>0.38810185185185181</v>
      </c>
      <c r="I24" s="131">
        <f t="shared" si="0"/>
        <v>2.1134259259259214E-2</v>
      </c>
      <c r="J24" s="132">
        <f>I24+J19</f>
        <v>8.459490740740741E-2</v>
      </c>
      <c r="K24" s="199">
        <f t="shared" si="1"/>
        <v>2.1129032258064484</v>
      </c>
    </row>
    <row r="25" spans="1:14" s="2" customFormat="1" ht="30" customHeight="1" thickBot="1">
      <c r="A25" s="134"/>
      <c r="B25" s="20">
        <v>20</v>
      </c>
      <c r="C25" s="129" t="s">
        <v>59</v>
      </c>
      <c r="D25" s="129">
        <v>12</v>
      </c>
      <c r="E25" s="201">
        <v>51.3</v>
      </c>
      <c r="F25" s="179">
        <f>(52.38+51.73+52.35+52.56+52.3+51.49+51.33+51.36+54.02+52.22+52.75+51.84+52.49+51.8+51.72+52.56+52.12+51.74+51.56+51.73+51.3+52.81+52.22+53.3+51.66+51.7+51.75)/27</f>
        <v>52.103333333333339</v>
      </c>
      <c r="G25" s="129">
        <v>627</v>
      </c>
      <c r="H25" s="131">
        <v>0.40717592592592594</v>
      </c>
      <c r="I25" s="131">
        <f t="shared" si="0"/>
        <v>1.9074074074074132E-2</v>
      </c>
      <c r="J25" s="132">
        <f>I25+J21</f>
        <v>0.1135300925925926</v>
      </c>
      <c r="K25" s="202">
        <f t="shared" si="1"/>
        <v>0.80333333333334167</v>
      </c>
    </row>
    <row r="26" spans="1:14" s="2" customFormat="1" ht="30" customHeight="1" thickBot="1">
      <c r="A26" s="134"/>
      <c r="B26" s="20">
        <v>21</v>
      </c>
      <c r="C26" s="129" t="s">
        <v>128</v>
      </c>
      <c r="D26" s="58">
        <v>21</v>
      </c>
      <c r="E26" s="137">
        <v>50.2</v>
      </c>
      <c r="F26" s="147">
        <f>(54.05+53.34+54.04+54.31+55.05+53.31+52.43+52.75+52.53+52.66+52.43+53.85+51.78+61.84+51.85+55.55+51.47+51.54+51.48+51.95+51.64+51.93+51.05+53.34+51.2+51.13+52.54+51.34+51.34+55.84+51.72+55.35+52.2+51.92)/34</f>
        <v>52.963235294117645</v>
      </c>
      <c r="G26" s="129">
        <v>662</v>
      </c>
      <c r="H26" s="131">
        <v>0.42936342592592597</v>
      </c>
      <c r="I26" s="131">
        <f t="shared" si="0"/>
        <v>2.2187500000000027E-2</v>
      </c>
      <c r="J26" s="150">
        <f>I26+J23</f>
        <v>9.0740740740740802E-2</v>
      </c>
      <c r="K26" s="199">
        <f t="shared" si="1"/>
        <v>2.7632352941176421</v>
      </c>
      <c r="M26" s="133">
        <f>AVERAGE(K8,K12,K17,K23,K26)</f>
        <v>3.1039027313381511</v>
      </c>
      <c r="N26" s="2" t="s">
        <v>180</v>
      </c>
    </row>
    <row r="27" spans="1:14" s="2" customFormat="1" ht="30" customHeight="1" thickBot="1">
      <c r="A27" s="134"/>
      <c r="B27" s="20">
        <v>22</v>
      </c>
      <c r="C27" s="129" t="s">
        <v>67</v>
      </c>
      <c r="D27" s="58">
        <v>13</v>
      </c>
      <c r="E27" s="137">
        <v>49.62</v>
      </c>
      <c r="F27" s="147">
        <f>(50.98+50.23+50.84+50.97+50.76+50.6+50.36+50.22+51.43+49.97+49.98+49.94+52.95+52.35+50.44+50.53+50.15+50.2+50.1+50.79+49.68+50.11+50.07+49.65+40.4+58.48+49.84+51.25+53.92+51.74+50.17+50.94+50.39+50.79+50.3+50.22+50.53+53.12+50.36+50.91+49.62+49.79+50.05+49.66+50.46+50.08)/46</f>
        <v>50.572173913043478</v>
      </c>
      <c r="G27" s="129">
        <v>709</v>
      </c>
      <c r="H27" s="131">
        <v>0.45774305555555556</v>
      </c>
      <c r="I27" s="131">
        <f t="shared" si="0"/>
        <v>2.8379629629629588E-2</v>
      </c>
      <c r="J27" s="132">
        <f>I27+J20</f>
        <v>0.10166666666666666</v>
      </c>
      <c r="K27" s="199">
        <f t="shared" si="1"/>
        <v>0.95217391304348098</v>
      </c>
      <c r="M27" s="203"/>
    </row>
    <row r="28" spans="1:14" s="2" customFormat="1" ht="30" customHeight="1">
      <c r="A28" s="134"/>
      <c r="B28" s="20">
        <v>23</v>
      </c>
      <c r="C28" s="129" t="s">
        <v>63</v>
      </c>
      <c r="D28" s="129">
        <v>5</v>
      </c>
      <c r="E28" s="145">
        <v>52.41</v>
      </c>
      <c r="F28" s="130">
        <f>(53.39+52.71+52.88+53.15+52.96+53+53.72+53.65+53.64+53.29+52.77+52.41+52.97+52.63+52.83+56.05+53.06+66.62+53.17+54.04+54.12+53.09+53.31+53.97+55.11+54.24)/26</f>
        <v>53.953076923076907</v>
      </c>
      <c r="G28" s="129">
        <v>736</v>
      </c>
      <c r="H28" s="131">
        <v>0.4753472222222222</v>
      </c>
      <c r="I28" s="131">
        <f t="shared" si="0"/>
        <v>1.7604166666666643E-2</v>
      </c>
      <c r="J28" s="146">
        <f>I28+J22</f>
        <v>8.4814814814814732E-2</v>
      </c>
      <c r="K28" s="199">
        <f t="shared" si="1"/>
        <v>1.5430769230769101</v>
      </c>
      <c r="M28" s="133">
        <f>AVERAGE(K28,K22,K18,K16,K11)</f>
        <v>1.4763164999035965</v>
      </c>
      <c r="N28" s="2" t="s">
        <v>181</v>
      </c>
    </row>
    <row r="29" spans="1:14" s="2" customFormat="1" ht="30" customHeight="1">
      <c r="A29" s="134"/>
      <c r="B29" s="20">
        <v>24</v>
      </c>
      <c r="C29" s="129" t="s">
        <v>54</v>
      </c>
      <c r="D29" s="129">
        <v>15</v>
      </c>
      <c r="E29" s="149">
        <v>50.71</v>
      </c>
      <c r="F29" s="130">
        <f>(53.58+53.23+53.05+53.68+53.08+53.14+53.25+52.94+53.03+52.52+52.08+54.25+51.51+52.28+54.36+51.94+51.52+51.11+55.87+51.68+50.71+56.6+56.27+55.62+51.24+60.34+51.53+51.53+51.89)/29</f>
        <v>53.235517241379306</v>
      </c>
      <c r="G29" s="176">
        <v>766</v>
      </c>
      <c r="H29" s="131">
        <v>0.49466435185185187</v>
      </c>
      <c r="I29" s="131">
        <f t="shared" si="0"/>
        <v>1.931712962962967E-2</v>
      </c>
      <c r="J29" s="151">
        <f>I29+J24</f>
        <v>0.10391203703703708</v>
      </c>
      <c r="K29" s="199">
        <f t="shared" si="1"/>
        <v>2.5255172413793048</v>
      </c>
      <c r="M29" s="133">
        <f>(AVERAGE(K29,K24,K19,K15,K7))</f>
        <v>1.8849366186896801</v>
      </c>
      <c r="N29" s="2" t="s">
        <v>182</v>
      </c>
    </row>
    <row r="30" spans="1:14" s="2" customFormat="1" ht="30" customHeight="1">
      <c r="A30" s="134"/>
      <c r="B30" s="20">
        <v>25</v>
      </c>
      <c r="C30" s="129" t="s">
        <v>67</v>
      </c>
      <c r="D30" s="129">
        <v>12</v>
      </c>
      <c r="E30" s="129">
        <v>49.66</v>
      </c>
      <c r="F30" s="130">
        <f>(53.73+52.25+52.66+52.13+51.31+51.77+52.21+52.15+52.93+50.93+50.94+51.87+50.33+50.44+50.02+51.15+49.83+49.98+50+50.49+50.86+50.96+50.4+50.7+50.27+50.05+50.61+50.41+50.86+50.72+50.11+49.75+50.17+50.04+49.83+50.08+49.66+50.04+49.99+50.15+50.12)/41</f>
        <v>50.802439024390246</v>
      </c>
      <c r="G30" s="129">
        <v>809</v>
      </c>
      <c r="H30" s="131">
        <v>0.52206018518518515</v>
      </c>
      <c r="I30" s="131">
        <f>H30-H29</f>
        <v>2.7395833333333286E-2</v>
      </c>
      <c r="J30" s="154">
        <f>I30+J27</f>
        <v>0.12906249999999994</v>
      </c>
      <c r="K30" s="199">
        <f t="shared" si="1"/>
        <v>1.1424390243902494</v>
      </c>
      <c r="M30" s="177">
        <f>AVERAGE(K30,K27,K20,K13,K9)</f>
        <v>1.4094230421148595</v>
      </c>
      <c r="N30" s="2" t="s">
        <v>183</v>
      </c>
    </row>
    <row r="31" spans="1:14" s="2" customFormat="1" ht="30" customHeight="1" thickBot="1">
      <c r="A31" s="152"/>
      <c r="B31" s="26" t="s">
        <v>162</v>
      </c>
      <c r="C31" s="183" t="s">
        <v>59</v>
      </c>
      <c r="D31" s="183">
        <v>6</v>
      </c>
      <c r="E31" s="183">
        <v>49.15</v>
      </c>
      <c r="F31" s="184">
        <f>(50.95+51.23+50.52+51.94+51.02+50.79+51.08+51.07+50.22+50.27+52.97+50.92+51.95+49.98+49.55+49.75+49.22+49.94+49.77+49.74+49.51+49.17+49.56+49.9+49.55+49.37+49.68+49.58+49.31+49.15+50.33+49.25+50.51)/33</f>
        <v>50.234848484848484</v>
      </c>
      <c r="G31" s="183">
        <v>843</v>
      </c>
      <c r="H31" s="185">
        <v>0.54200231481481487</v>
      </c>
      <c r="I31" s="185">
        <f t="shared" si="0"/>
        <v>1.9942129629629712E-2</v>
      </c>
      <c r="J31" s="204">
        <f>I31+J25</f>
        <v>0.13347222222222233</v>
      </c>
      <c r="K31" s="199">
        <f t="shared" si="1"/>
        <v>1.0848484848484858</v>
      </c>
      <c r="M31" s="133">
        <f>AVERAGE(K31,K25,K21,K6,K10,K14)</f>
        <v>1.4702910637910591</v>
      </c>
      <c r="N31" s="2" t="s">
        <v>184</v>
      </c>
    </row>
    <row r="32" spans="1:14">
      <c r="E32" s="155">
        <f>AVERAGE(E6:E31)</f>
        <v>51.823461538461544</v>
      </c>
      <c r="F32" s="155">
        <f>AVERAGE(F6:F31)</f>
        <v>53.677101570883757</v>
      </c>
    </row>
  </sheetData>
  <mergeCells count="12">
    <mergeCell ref="I4:J4"/>
    <mergeCell ref="A6:A31"/>
    <mergeCell ref="A1:J1"/>
    <mergeCell ref="A3:J3"/>
    <mergeCell ref="A4:A5"/>
    <mergeCell ref="B4:B5"/>
    <mergeCell ref="C4:C5"/>
    <mergeCell ref="D4:D5"/>
    <mergeCell ref="E4:E5"/>
    <mergeCell ref="F4:F5"/>
    <mergeCell ref="G4:G5"/>
    <mergeCell ref="H4:H5"/>
  </mergeCells>
  <pageMargins left="0.31496062992125984" right="0.31496062992125984" top="0.55118110236220474" bottom="0.11811023622047245" header="0.31496062992125984" footer="0.31496062992125984"/>
  <pageSetup paperSize="9" scale="93" orientation="portrait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32"/>
  <sheetViews>
    <sheetView tabSelected="1" topLeftCell="A19" zoomScale="75" zoomScaleNormal="75" workbookViewId="0">
      <selection activeCell="L31" sqref="L31"/>
    </sheetView>
  </sheetViews>
  <sheetFormatPr defaultRowHeight="15"/>
  <cols>
    <col min="1" max="1" width="10.5703125" customWidth="1"/>
    <col min="2" max="2" width="7.28515625" customWidth="1"/>
    <col min="3" max="3" width="23.5703125" bestFit="1" customWidth="1"/>
    <col min="4" max="5" width="8.85546875" style="1" customWidth="1"/>
    <col min="6" max="6" width="17" style="1" customWidth="1"/>
    <col min="7" max="7" width="9.42578125" style="1" customWidth="1"/>
    <col min="8" max="8" width="18.5703125" style="1" customWidth="1"/>
    <col min="9" max="9" width="12.85546875" style="1" customWidth="1"/>
    <col min="10" max="10" width="17.5703125" style="1" customWidth="1"/>
  </cols>
  <sheetData>
    <row r="1" spans="1:11" ht="19.5">
      <c r="A1" s="94" t="s">
        <v>146</v>
      </c>
      <c r="B1" s="94"/>
      <c r="C1" s="94"/>
      <c r="D1" s="94"/>
      <c r="E1" s="94"/>
      <c r="F1" s="94"/>
      <c r="G1" s="94"/>
      <c r="H1" s="94"/>
      <c r="I1" s="94"/>
      <c r="J1" s="94"/>
    </row>
    <row r="2" spans="1:11" ht="10.5" customHeight="1"/>
    <row r="3" spans="1:11" ht="15.75" customHeight="1" thickBot="1">
      <c r="A3" s="95" t="s">
        <v>147</v>
      </c>
      <c r="B3" s="95"/>
      <c r="C3" s="95"/>
      <c r="D3" s="95"/>
      <c r="E3" s="95"/>
      <c r="F3" s="95"/>
      <c r="G3" s="95"/>
      <c r="H3" s="95"/>
      <c r="I3" s="95"/>
      <c r="J3" s="95"/>
    </row>
    <row r="4" spans="1:11" s="1" customFormat="1" ht="25.5" customHeight="1">
      <c r="A4" s="114" t="s">
        <v>148</v>
      </c>
      <c r="B4" s="115" t="s">
        <v>149</v>
      </c>
      <c r="C4" s="115" t="s">
        <v>32</v>
      </c>
      <c r="D4" s="116" t="s">
        <v>150</v>
      </c>
      <c r="E4" s="115" t="s">
        <v>175</v>
      </c>
      <c r="F4" s="118" t="s">
        <v>152</v>
      </c>
      <c r="G4" s="115" t="s">
        <v>153</v>
      </c>
      <c r="H4" s="115" t="s">
        <v>154</v>
      </c>
      <c r="I4" s="96" t="s">
        <v>155</v>
      </c>
      <c r="J4" s="119"/>
    </row>
    <row r="5" spans="1:11" s="1" customFormat="1" ht="22.5" customHeight="1" thickBot="1">
      <c r="A5" s="120"/>
      <c r="B5" s="121"/>
      <c r="C5" s="121"/>
      <c r="D5" s="122"/>
      <c r="E5" s="121"/>
      <c r="F5" s="124"/>
      <c r="G5" s="121"/>
      <c r="H5" s="121"/>
      <c r="I5" s="125" t="s">
        <v>156</v>
      </c>
      <c r="J5" s="125" t="s">
        <v>157</v>
      </c>
      <c r="K5" s="126"/>
    </row>
    <row r="6" spans="1:11" s="2" customFormat="1" ht="30" customHeight="1">
      <c r="A6" s="127" t="s">
        <v>74</v>
      </c>
      <c r="B6" s="128">
        <v>1</v>
      </c>
      <c r="C6" s="129" t="s">
        <v>75</v>
      </c>
      <c r="D6" s="129">
        <v>14</v>
      </c>
      <c r="E6" s="129">
        <v>52.54</v>
      </c>
      <c r="F6" s="130">
        <f>(59.91+56.09+55.6+55.41+55.23+54.87+58.62+54.17+54.16+69.75+56.97+53.68+54.37+54.3+53.87+53.03+53.61+53.29+52.71+52.62+52.88+52.54)/22</f>
        <v>55.349090909090904</v>
      </c>
      <c r="G6" s="129">
        <v>22</v>
      </c>
      <c r="H6" s="131">
        <v>1.4178240740740741E-2</v>
      </c>
      <c r="I6" s="131">
        <f>H6</f>
        <v>1.4178240740740741E-2</v>
      </c>
      <c r="J6" s="132">
        <f>I6</f>
        <v>1.4178240740740741E-2</v>
      </c>
      <c r="K6" s="133">
        <f>F6-E6</f>
        <v>2.8090909090909051</v>
      </c>
    </row>
    <row r="7" spans="1:11" s="2" customFormat="1" ht="30" customHeight="1">
      <c r="A7" s="134"/>
      <c r="B7" s="135">
        <v>2</v>
      </c>
      <c r="C7" s="129" t="s">
        <v>87</v>
      </c>
      <c r="D7" s="129">
        <v>21</v>
      </c>
      <c r="E7" s="129">
        <v>53.5</v>
      </c>
      <c r="F7" s="130">
        <f>(55.69+55.31+55.44+54.94+55.39+54.47+54.98+54.68+55.76+53.86+54.2+53.83+53.5+54.92+55.88+55.16+55.46)/17</f>
        <v>54.910000000000004</v>
      </c>
      <c r="G7" s="129">
        <v>40</v>
      </c>
      <c r="H7" s="131">
        <v>2.6377314814814815E-2</v>
      </c>
      <c r="I7" s="131">
        <f t="shared" ref="I7:I31" si="0">H7-H6</f>
        <v>1.2199074074074074E-2</v>
      </c>
      <c r="J7" s="132">
        <f>I7</f>
        <v>1.2199074074074074E-2</v>
      </c>
      <c r="K7" s="133">
        <f t="shared" ref="K7:K31" si="1">F7-E7</f>
        <v>1.4100000000000037</v>
      </c>
    </row>
    <row r="8" spans="1:11" s="2" customFormat="1" ht="30" customHeight="1">
      <c r="A8" s="134"/>
      <c r="B8" s="135">
        <v>3</v>
      </c>
      <c r="C8" s="129" t="s">
        <v>185</v>
      </c>
      <c r="D8" s="129">
        <v>10</v>
      </c>
      <c r="E8" s="129">
        <v>51.4</v>
      </c>
      <c r="F8" s="130">
        <f>(54.02+58.86+54.08+53.85+53.61+55.19+53.97+54.27+53.24+53.09+55.64+53.2+54.06+52.66+52.81+52.29+52.9+52.44+52.4+51.91+51.41+54.88+52.21+55.54+56.49+52.15+52.27+53.58+53.63+51.89+52.86+54.96+59.04+52.86+52.61+53.02+52.53+52.93+52.33+52.92+53.91+52.53+51.88+52.76+52.54+59.1+52.52+53.4)/48</f>
        <v>53.609166666666674</v>
      </c>
      <c r="G8" s="129">
        <v>89</v>
      </c>
      <c r="H8" s="131">
        <v>5.7534722222222223E-2</v>
      </c>
      <c r="I8" s="131">
        <f t="shared" si="0"/>
        <v>3.1157407407407408E-2</v>
      </c>
      <c r="J8" s="132">
        <f>I8</f>
        <v>3.1157407407407408E-2</v>
      </c>
      <c r="K8" s="133">
        <f t="shared" si="1"/>
        <v>2.2091666666666754</v>
      </c>
    </row>
    <row r="9" spans="1:11" s="2" customFormat="1" ht="30" customHeight="1">
      <c r="A9" s="134"/>
      <c r="B9" s="135">
        <v>4</v>
      </c>
      <c r="C9" s="129" t="s">
        <v>79</v>
      </c>
      <c r="D9" s="129">
        <v>7</v>
      </c>
      <c r="E9" s="129">
        <v>52.09</v>
      </c>
      <c r="F9" s="130">
        <f>(53.93+53.85+64.01+53.33+54+53.34+53.64+53.34+54.13+53.53+53.7+53.51+53.18+52.84+55.54+52.94+53.33+58.35+53.24+52.92+53.06+52.28+52.86+52.35+52.69+55.28+52.09+52.64+52.73+54.02+52.74+52.55+53.06+52.38+52.79+52.2+53.06+53.2+52.91+52.44+52.18+52.29+52.71+52.16+52.68+53.16+52.57+53.37+64.08+52.7+52.66)/51</f>
        <v>53.618431372549004</v>
      </c>
      <c r="G9" s="129">
        <v>141</v>
      </c>
      <c r="H9" s="131">
        <v>9.0578703703703703E-2</v>
      </c>
      <c r="I9" s="131">
        <f t="shared" si="0"/>
        <v>3.304398148148148E-2</v>
      </c>
      <c r="J9" s="132">
        <f>I9</f>
        <v>3.304398148148148E-2</v>
      </c>
      <c r="K9" s="133">
        <f t="shared" si="1"/>
        <v>1.5284313725490009</v>
      </c>
    </row>
    <row r="10" spans="1:11" s="2" customFormat="1" ht="30" customHeight="1">
      <c r="A10" s="134"/>
      <c r="B10" s="135">
        <v>5</v>
      </c>
      <c r="C10" s="129" t="s">
        <v>186</v>
      </c>
      <c r="D10" s="129">
        <v>5</v>
      </c>
      <c r="E10" s="129">
        <v>54.99</v>
      </c>
      <c r="F10" s="130">
        <f>(65.05+55.74+55.18+54.99+56.11+58.61+60+55.64+56.17+56.29+56.2+55.22+56.7+55.7+55.7+56.18)/16</f>
        <v>56.842500000000008</v>
      </c>
      <c r="G10" s="129">
        <v>158</v>
      </c>
      <c r="H10" s="131">
        <v>0.10251157407407407</v>
      </c>
      <c r="I10" s="131">
        <f t="shared" si="0"/>
        <v>1.1932870370370371E-2</v>
      </c>
      <c r="J10" s="132">
        <f>I10</f>
        <v>1.1932870370370371E-2</v>
      </c>
      <c r="K10" s="133">
        <f t="shared" si="1"/>
        <v>1.8525000000000063</v>
      </c>
    </row>
    <row r="11" spans="1:11" s="2" customFormat="1" ht="30" customHeight="1">
      <c r="A11" s="134"/>
      <c r="B11" s="135">
        <v>6</v>
      </c>
      <c r="C11" s="129" t="s">
        <v>75</v>
      </c>
      <c r="D11" s="129">
        <v>11</v>
      </c>
      <c r="E11" s="129">
        <v>51.61</v>
      </c>
      <c r="F11" s="130">
        <f>(53.68+53.76+54.03+53.14+53.17+53.26+53.17+54.06+53.16+52.82+52.66+52.05+52.36+51.93+52.53+52.1+53.84+57.35+53.27+52.28+52.16+51.63+51.61+52.19+52.69+60.78+52.15+51.61+52.28+51.91+52.61+53.35)/32</f>
        <v>53.112187500000005</v>
      </c>
      <c r="G11" s="129">
        <v>191</v>
      </c>
      <c r="H11" s="131">
        <v>0.12354166666666666</v>
      </c>
      <c r="I11" s="131">
        <f t="shared" si="0"/>
        <v>2.1030092592592586E-2</v>
      </c>
      <c r="J11" s="132">
        <f t="shared" ref="J11:J31" si="2">I11+J6</f>
        <v>3.5208333333333328E-2</v>
      </c>
      <c r="K11" s="133">
        <f t="shared" si="1"/>
        <v>1.5021875000000051</v>
      </c>
    </row>
    <row r="12" spans="1:11" s="2" customFormat="1" ht="30" customHeight="1">
      <c r="A12" s="134"/>
      <c r="B12" s="135">
        <v>7</v>
      </c>
      <c r="C12" s="129" t="s">
        <v>87</v>
      </c>
      <c r="D12" s="129">
        <v>6</v>
      </c>
      <c r="E12" s="129">
        <v>50.17</v>
      </c>
      <c r="F12" s="130">
        <f>(55.07+55.17+54.43+54.14+53.85+54+54.19+53.67+52.99+53+53.44+54.04+52.63+52.11+52.08+51.92+51.68+52.05+51.85+53.55+53.75+51.83+51.95+51.53+51.08+51.47+51.29+51.31+50.62+50.92+51.13+51.11+51.73+50.47+50.63+51.55+51.15+50.17+52.48)/39</f>
        <v>52.359743589743587</v>
      </c>
      <c r="G12" s="129">
        <v>231</v>
      </c>
      <c r="H12" s="131">
        <v>0.14854166666666666</v>
      </c>
      <c r="I12" s="131">
        <f t="shared" si="0"/>
        <v>2.4999999999999994E-2</v>
      </c>
      <c r="J12" s="132">
        <f t="shared" si="2"/>
        <v>3.7199074074074065E-2</v>
      </c>
      <c r="K12" s="133">
        <f t="shared" si="1"/>
        <v>2.1897435897435855</v>
      </c>
    </row>
    <row r="13" spans="1:11" s="2" customFormat="1" ht="30" customHeight="1" thickBot="1">
      <c r="A13" s="134"/>
      <c r="B13" s="135">
        <v>8</v>
      </c>
      <c r="C13" s="129" t="s">
        <v>185</v>
      </c>
      <c r="D13" s="129">
        <v>2</v>
      </c>
      <c r="E13" s="136">
        <v>50.91</v>
      </c>
      <c r="F13" s="130">
        <f>(54.05+54.41+54.04+53.01+53.82+53.51+52.14+52.96+52.61+52.19+52.34+51.41+52.3+52.73+50.91+52.73)/16</f>
        <v>52.822499999999998</v>
      </c>
      <c r="G13" s="129">
        <v>248</v>
      </c>
      <c r="H13" s="131">
        <v>0.15972222222222224</v>
      </c>
      <c r="I13" s="131">
        <f t="shared" si="0"/>
        <v>1.1180555555555582E-2</v>
      </c>
      <c r="J13" s="132">
        <f t="shared" si="2"/>
        <v>4.2337962962962994E-2</v>
      </c>
      <c r="K13" s="133">
        <f t="shared" si="1"/>
        <v>1.9125000000000014</v>
      </c>
    </row>
    <row r="14" spans="1:11" s="2" customFormat="1" ht="30" customHeight="1" thickBot="1">
      <c r="A14" s="134"/>
      <c r="B14" s="135">
        <v>9</v>
      </c>
      <c r="C14" s="129" t="s">
        <v>79</v>
      </c>
      <c r="D14" s="58">
        <v>15</v>
      </c>
      <c r="E14" s="137">
        <v>49.32</v>
      </c>
      <c r="F14" s="147">
        <f>(52.15+55.23+55.33+51.03+50.71+50.49+50.49+50.18+51.19+50.49+50.91+50.9+50.87+50.45+50.39+49.93+49.32+49.57+54.24+65.45+51.7+50.76+50.46+50.8)/24</f>
        <v>51.793333333333329</v>
      </c>
      <c r="G14" s="129">
        <v>273</v>
      </c>
      <c r="H14" s="131">
        <v>0.17561342592592591</v>
      </c>
      <c r="I14" s="131">
        <f t="shared" si="0"/>
        <v>1.5891203703703671E-2</v>
      </c>
      <c r="J14" s="132">
        <f t="shared" si="2"/>
        <v>4.8935185185185151E-2</v>
      </c>
      <c r="K14" s="133">
        <f t="shared" si="1"/>
        <v>2.4733333333333292</v>
      </c>
    </row>
    <row r="15" spans="1:11" s="2" customFormat="1" ht="30" customHeight="1">
      <c r="A15" s="134"/>
      <c r="B15" s="135">
        <v>10</v>
      </c>
      <c r="C15" s="129" t="s">
        <v>186</v>
      </c>
      <c r="D15" s="129">
        <v>12</v>
      </c>
      <c r="E15" s="145">
        <v>51.44</v>
      </c>
      <c r="F15" s="130">
        <f>(53.23+53.49+53.03+54.59+54.15+52.34+53.27+52.41+52.75+55.96+51.93+52.34+51.82+54.18+51.9+52.05+52.49+51.44+51.61+53.84)/20</f>
        <v>52.940999999999995</v>
      </c>
      <c r="G15" s="129">
        <v>294</v>
      </c>
      <c r="H15" s="131">
        <v>0.18922453703703704</v>
      </c>
      <c r="I15" s="131">
        <f t="shared" si="0"/>
        <v>1.3611111111111129E-2</v>
      </c>
      <c r="J15" s="132">
        <f t="shared" si="2"/>
        <v>2.5543981481481501E-2</v>
      </c>
      <c r="K15" s="133">
        <f t="shared" si="1"/>
        <v>1.5009999999999977</v>
      </c>
    </row>
    <row r="16" spans="1:11" s="2" customFormat="1" ht="30" customHeight="1">
      <c r="A16" s="134"/>
      <c r="B16" s="135">
        <v>11</v>
      </c>
      <c r="C16" s="129" t="s">
        <v>75</v>
      </c>
      <c r="D16" s="129">
        <v>6</v>
      </c>
      <c r="E16" s="129">
        <v>50.12</v>
      </c>
      <c r="F16" s="130">
        <f>(51.84+55.92+51.64+51.35+51.99+51.01+51.54+51.95+51.32+53.11+56.57+70.2+51+69.45+51.23+50.28+51.14+52.17+65.09+51.08+50.64+50.92+54.67+50.96+50.25+50.64+50.12+50.69+50.51+50.8+50.48+50.65+51.33+51.54+51.1+51.55)/36</f>
        <v>52.964722222222221</v>
      </c>
      <c r="G16" s="129">
        <v>331</v>
      </c>
      <c r="H16" s="131">
        <v>0.2126851851851852</v>
      </c>
      <c r="I16" s="131">
        <f t="shared" si="0"/>
        <v>2.3460648148148161E-2</v>
      </c>
      <c r="J16" s="132">
        <f t="shared" si="2"/>
        <v>5.8668981481481489E-2</v>
      </c>
      <c r="K16" s="133">
        <f t="shared" si="1"/>
        <v>2.8447222222222237</v>
      </c>
    </row>
    <row r="17" spans="1:12" s="2" customFormat="1" ht="30" customHeight="1">
      <c r="A17" s="134"/>
      <c r="B17" s="135">
        <v>12</v>
      </c>
      <c r="C17" s="129" t="s">
        <v>87</v>
      </c>
      <c r="D17" s="129">
        <v>88</v>
      </c>
      <c r="E17" s="129">
        <v>49.54</v>
      </c>
      <c r="F17" s="130">
        <f>(50.8+56.05+50.53+50.92+50.19+49.71+51.89+50.03+49.89+49.82+50.19+49.55+50.13+50.01+50.13+50.14+49.83+49.74+50.18+49.74+50.37+49.54+49.69+49.82+49.91+49.9+50.86+51.7+53.66+56.14+51.6+53.25+51.16+50.3+50.4+49.82+50.11+51.07+50.82+52.36+51.32+50.2+50.08+49.98+49.62+50.31)/46</f>
        <v>50.727391304347819</v>
      </c>
      <c r="G17" s="129">
        <v>378</v>
      </c>
      <c r="H17" s="131">
        <v>0.24105324074074075</v>
      </c>
      <c r="I17" s="131">
        <f t="shared" si="0"/>
        <v>2.8368055555555549E-2</v>
      </c>
      <c r="J17" s="132">
        <f t="shared" si="2"/>
        <v>6.5567129629629614E-2</v>
      </c>
      <c r="K17" s="133">
        <f t="shared" si="1"/>
        <v>1.1873913043478197</v>
      </c>
    </row>
    <row r="18" spans="1:12" s="2" customFormat="1" ht="30" customHeight="1">
      <c r="A18" s="134"/>
      <c r="B18" s="135">
        <v>13</v>
      </c>
      <c r="C18" s="129" t="s">
        <v>185</v>
      </c>
      <c r="D18" s="129">
        <v>2</v>
      </c>
      <c r="E18" s="129">
        <v>52.26</v>
      </c>
      <c r="F18" s="130">
        <f>(53.29+53.44+52.26+52.89+52.73+54.36+52.83+56.82+52.88+53.32+53.22+53.86+54.62+54.93+64.73+54.98+55.21+54.16+54.39+55.49+54.26+54.04+54.7+57.55+54.77+54.1+54.6+54.35+56.06+53.88+54.87+54.97+54.55)/33</f>
        <v>54.639696969696956</v>
      </c>
      <c r="G18" s="129">
        <v>412</v>
      </c>
      <c r="H18" s="131">
        <v>0.26332175925925927</v>
      </c>
      <c r="I18" s="131">
        <f t="shared" si="0"/>
        <v>2.2268518518518521E-2</v>
      </c>
      <c r="J18" s="132">
        <f t="shared" si="2"/>
        <v>6.4606481481481515E-2</v>
      </c>
      <c r="K18" s="133">
        <f t="shared" si="1"/>
        <v>2.3796969696969583</v>
      </c>
    </row>
    <row r="19" spans="1:12" s="2" customFormat="1" ht="30" customHeight="1">
      <c r="A19" s="134"/>
      <c r="B19" s="135">
        <v>14</v>
      </c>
      <c r="C19" s="129" t="s">
        <v>79</v>
      </c>
      <c r="D19" s="129">
        <v>3</v>
      </c>
      <c r="E19" s="129">
        <v>51.85</v>
      </c>
      <c r="F19" s="130">
        <f>(59.34+55.28+54.25+54.16+55.26+53.42+53.53+53.58+53.39+53.7+53.92+53.9+53.05+54.36+52.48+42.72+52.93+51.85+52.24+52.73+54.78+52.26+52.24+53.35+52.56)/25</f>
        <v>53.25119999999999</v>
      </c>
      <c r="G19" s="129">
        <v>439</v>
      </c>
      <c r="H19" s="131">
        <v>0.28300925925925924</v>
      </c>
      <c r="I19" s="131">
        <f t="shared" si="0"/>
        <v>1.9687499999999969E-2</v>
      </c>
      <c r="J19" s="132">
        <f t="shared" si="2"/>
        <v>6.862268518518512E-2</v>
      </c>
      <c r="K19" s="133">
        <f t="shared" si="1"/>
        <v>1.4011999999999887</v>
      </c>
    </row>
    <row r="20" spans="1:12" s="2" customFormat="1" ht="30" customHeight="1">
      <c r="A20" s="134"/>
      <c r="B20" s="135">
        <v>15</v>
      </c>
      <c r="C20" s="129" t="s">
        <v>186</v>
      </c>
      <c r="D20" s="129">
        <v>13</v>
      </c>
      <c r="E20" s="129">
        <v>51.54</v>
      </c>
      <c r="F20" s="130">
        <f>(53.77+54.04+55.7+54.13+53.24+55.49+55+53.5+53.8+53.79+59.91+52.91+52.78+52.29+52.99+52.4+52+52.51+52.98+52.35+52.44+52.47+54.91+54.13+52.79+52.38+52.23+52.1+51.75+52.1+51.54+53.26+54.6+52.01+52.07+52.3+52.41+52.08+56.8)/39</f>
        <v>53.332051282051275</v>
      </c>
      <c r="G20" s="129">
        <v>479</v>
      </c>
      <c r="H20" s="131">
        <v>0.30851851851851853</v>
      </c>
      <c r="I20" s="131">
        <f t="shared" si="0"/>
        <v>2.5509259259259287E-2</v>
      </c>
      <c r="J20" s="132">
        <f t="shared" si="2"/>
        <v>5.1053240740740788E-2</v>
      </c>
      <c r="K20" s="133">
        <f t="shared" si="1"/>
        <v>1.7920512820512755</v>
      </c>
    </row>
    <row r="21" spans="1:12" s="2" customFormat="1" ht="30" customHeight="1">
      <c r="A21" s="134"/>
      <c r="B21" s="135">
        <v>16</v>
      </c>
      <c r="C21" s="129" t="s">
        <v>75</v>
      </c>
      <c r="D21" s="129">
        <v>6</v>
      </c>
      <c r="E21" s="129">
        <v>57.51</v>
      </c>
      <c r="F21" s="130">
        <f>(65.13+65.98+65.64+61.08+58.93+59.85+68.34+62.82+57.51+59.1+56.8+61.44+63.68+58.86+58.49)/15</f>
        <v>61.576666666666675</v>
      </c>
      <c r="G21" s="129">
        <v>495</v>
      </c>
      <c r="H21" s="131">
        <v>0.32111111111111112</v>
      </c>
      <c r="I21" s="131">
        <f t="shared" si="0"/>
        <v>1.25925925925926E-2</v>
      </c>
      <c r="J21" s="132">
        <f t="shared" si="2"/>
        <v>7.1261574074074088E-2</v>
      </c>
      <c r="K21" s="133">
        <f t="shared" si="1"/>
        <v>4.0666666666666771</v>
      </c>
    </row>
    <row r="22" spans="1:12" s="2" customFormat="1" ht="30" customHeight="1">
      <c r="A22" s="134"/>
      <c r="B22" s="135">
        <v>17</v>
      </c>
      <c r="C22" s="129" t="s">
        <v>87</v>
      </c>
      <c r="D22" s="129">
        <v>13</v>
      </c>
      <c r="E22" s="129">
        <v>50.51</v>
      </c>
      <c r="F22" s="130">
        <f>(53.54+53.3+53.43+52.67+51.94+53.08+52.16+52.38+51.87+51.78+52.37+51.58+51.83+52.64+53.14+53.66+53.48+51.67+51.48+51.93+52.07+52.28+52.39+50.51+51.11+51.68+51.93+51.65+51.6+51.51+51.11+51.72+51.66+51.08+51.37+50.82+51.09+51+52.46+51.1+51.34+51.7+51.19+51.57+51.28+51.6+51.68+52.44+56.3+51.82+51.52+53.69)/52</f>
        <v>52.042307692307695</v>
      </c>
      <c r="G22" s="129">
        <v>548</v>
      </c>
      <c r="H22" s="131">
        <v>0.3538310185185185</v>
      </c>
      <c r="I22" s="131">
        <f t="shared" si="0"/>
        <v>3.2719907407407378E-2</v>
      </c>
      <c r="J22" s="132">
        <f t="shared" si="2"/>
        <v>9.8287037037036992E-2</v>
      </c>
      <c r="K22" s="133">
        <f t="shared" si="1"/>
        <v>1.5323076923076968</v>
      </c>
    </row>
    <row r="23" spans="1:12" s="2" customFormat="1" ht="30" customHeight="1">
      <c r="A23" s="134"/>
      <c r="B23" s="135">
        <v>18</v>
      </c>
      <c r="C23" s="129" t="s">
        <v>185</v>
      </c>
      <c r="D23" s="129">
        <v>88</v>
      </c>
      <c r="E23" s="129">
        <v>50.86</v>
      </c>
      <c r="F23" s="130">
        <f>(52.89+52.51+52.16+51.53+52.25+51.65+52.37+53.6+52.29+55.08+51.02+52.54+52.39+53.09+54.39+51.81+54.6+51.83+52.48+53.62+53.46+51.33+52+51.28+52.51+53.12+54.52+52.23+51.94+55.52+51.47+51.77+59.12+51.89+51.43+51.57+53.21+51.31+53.71+51.46+63.06+52.15+51.78+52.18+52+64.71+58.87+50.86+51.6+51.07+51.44)/51</f>
        <v>53.111176470588234</v>
      </c>
      <c r="G23" s="129">
        <v>600</v>
      </c>
      <c r="H23" s="131">
        <v>0.38653935185185184</v>
      </c>
      <c r="I23" s="131">
        <f t="shared" si="0"/>
        <v>3.2708333333333339E-2</v>
      </c>
      <c r="J23" s="132">
        <f t="shared" si="2"/>
        <v>9.7314814814814854E-2</v>
      </c>
      <c r="K23" s="133">
        <f t="shared" si="1"/>
        <v>2.2511764705882342</v>
      </c>
    </row>
    <row r="24" spans="1:12" s="2" customFormat="1" ht="30" customHeight="1">
      <c r="A24" s="134"/>
      <c r="B24" s="135">
        <v>19</v>
      </c>
      <c r="C24" s="129" t="s">
        <v>79</v>
      </c>
      <c r="D24" s="129">
        <v>5</v>
      </c>
      <c r="E24" s="129">
        <v>53.35</v>
      </c>
      <c r="F24" s="130">
        <f>(54.67+54.05+54.85+54.44+53.35+53.69+53.7+53.82+53.47+54.4+56.29+53.85+78.25+53.97+54.11+54.55+53.74)/17</f>
        <v>55.599999999999994</v>
      </c>
      <c r="G24" s="129">
        <v>618</v>
      </c>
      <c r="H24" s="131">
        <v>0.39886574074074077</v>
      </c>
      <c r="I24" s="131">
        <f t="shared" si="0"/>
        <v>1.2326388888888928E-2</v>
      </c>
      <c r="J24" s="132">
        <f t="shared" si="2"/>
        <v>8.0949074074074048E-2</v>
      </c>
      <c r="K24" s="133">
        <f t="shared" si="1"/>
        <v>2.2499999999999929</v>
      </c>
    </row>
    <row r="25" spans="1:12" s="2" customFormat="1" ht="30" customHeight="1" thickBot="1">
      <c r="A25" s="134"/>
      <c r="B25" s="135">
        <v>20</v>
      </c>
      <c r="C25" s="129" t="s">
        <v>186</v>
      </c>
      <c r="D25" s="129">
        <v>11</v>
      </c>
      <c r="E25" s="136">
        <v>50.26</v>
      </c>
      <c r="F25" s="130">
        <f>(52.9+52.01+52.24+62.58+51.57+51.18+51.62+51.19+52.23+50.95+52.11+51.63+53.64+51.56+51.65+51.54+51.42+51.06+51.16+51.66+50.95+56.09+51.25+51.12+51.04+50.89+50.82+51.55+51.7+51.18+51.34+51.6+51.56+50.79+54.33+51.87+52.18+50.43+51.05+50.28+50.51+50.52+50.26+51.1+50.71+50.47+50.45+50.88)/48</f>
        <v>51.725416666666661</v>
      </c>
      <c r="G25" s="129">
        <v>668</v>
      </c>
      <c r="H25" s="131">
        <v>0.43004629629629632</v>
      </c>
      <c r="I25" s="131">
        <f t="shared" si="0"/>
        <v>3.1180555555555545E-2</v>
      </c>
      <c r="J25" s="132">
        <f t="shared" si="2"/>
        <v>8.2233796296296333E-2</v>
      </c>
      <c r="K25" s="133">
        <f t="shared" si="1"/>
        <v>1.4654166666666626</v>
      </c>
    </row>
    <row r="26" spans="1:12" s="2" customFormat="1" ht="30" customHeight="1" thickBot="1">
      <c r="A26" s="134"/>
      <c r="B26" s="135">
        <v>21</v>
      </c>
      <c r="C26" s="129" t="s">
        <v>75</v>
      </c>
      <c r="D26" s="58">
        <v>15</v>
      </c>
      <c r="E26" s="137">
        <v>49.44</v>
      </c>
      <c r="F26" s="147">
        <f>(50.86+50.65+50.71+50.4+50.05+49.44+50.06+51.05+49.63+50.26+49.66+49.9+53.39+59.81+53.31+53.19+53+51.85+51.02+50.06+51.94+51.4+51.35+51.84+50.86+52.64+53.69+51.71+49.82+50.28+50.36+50.89+50.49+50.93+50.16+49.73+53.39+50.88+51.55+50.06+50.09+50.2)/42</f>
        <v>51.251428571428583</v>
      </c>
      <c r="G26" s="129">
        <v>712</v>
      </c>
      <c r="H26" s="131">
        <v>0.45798611111111115</v>
      </c>
      <c r="I26" s="131">
        <f t="shared" si="0"/>
        <v>2.7939814814814834E-2</v>
      </c>
      <c r="J26" s="132">
        <f t="shared" si="2"/>
        <v>9.9201388888888922E-2</v>
      </c>
      <c r="K26" s="133">
        <f t="shared" si="1"/>
        <v>1.8114285714285856</v>
      </c>
    </row>
    <row r="27" spans="1:12" s="2" customFormat="1" ht="30" customHeight="1" thickBot="1">
      <c r="A27" s="134"/>
      <c r="B27" s="135">
        <v>22</v>
      </c>
      <c r="C27" s="129" t="s">
        <v>87</v>
      </c>
      <c r="D27" s="58">
        <v>21</v>
      </c>
      <c r="E27" s="148">
        <v>49.19</v>
      </c>
      <c r="F27" s="147">
        <f>(50.7+51.25+50.46+50.66+50.4+55.01+51.17+50.5+49.76+50.59+50.42+49.55+50+50.05+49.79+49.19+49.77+49.49+49.54+49.9+50.45+51.97+49.33+50.54+49.31+50.56+52.64)/27</f>
        <v>50.481481481481467</v>
      </c>
      <c r="G27" s="129">
        <v>740</v>
      </c>
      <c r="H27" s="131">
        <v>0.47513888888888883</v>
      </c>
      <c r="I27" s="131">
        <f t="shared" si="0"/>
        <v>1.7152777777777684E-2</v>
      </c>
      <c r="J27" s="151">
        <f t="shared" si="2"/>
        <v>0.11543981481481468</v>
      </c>
      <c r="K27" s="133">
        <f t="shared" si="1"/>
        <v>1.291481481481469</v>
      </c>
      <c r="L27" s="195">
        <f>AVERAGE(K27,K22,K17,K12,K7)</f>
        <v>1.5221848135761149</v>
      </c>
    </row>
    <row r="28" spans="1:12" s="2" customFormat="1" ht="30" customHeight="1" thickBot="1">
      <c r="A28" s="134"/>
      <c r="B28" s="135">
        <v>23</v>
      </c>
      <c r="C28" s="129" t="s">
        <v>185</v>
      </c>
      <c r="D28" s="58">
        <v>11</v>
      </c>
      <c r="E28" s="137">
        <v>49.33</v>
      </c>
      <c r="F28" s="138">
        <f>(52.02+54.41+50.93+51.4+60.89+51.73+51.76+51.15+51.26+50.95+50.94+50.91+50.48+51.07+51.3+50.95+50.51+52.27+49.87+70.56+50.42+49.84+53.26+49.68+49.76+49.33+50.82+49.49+49.88+49.8+50.59)/31</f>
        <v>51.878387096774198</v>
      </c>
      <c r="G28" s="129">
        <v>772</v>
      </c>
      <c r="H28" s="131">
        <v>0.49510416666666668</v>
      </c>
      <c r="I28" s="131">
        <f t="shared" si="0"/>
        <v>1.9965277777777846E-2</v>
      </c>
      <c r="J28" s="190">
        <f t="shared" si="2"/>
        <v>0.1172800925925927</v>
      </c>
      <c r="K28" s="133">
        <f t="shared" si="1"/>
        <v>2.5483870967741993</v>
      </c>
      <c r="L28" s="175">
        <f>AVERAGE(K28,K23,K18,K13,K8)</f>
        <v>2.2601854407452135</v>
      </c>
    </row>
    <row r="29" spans="1:12" s="2" customFormat="1" ht="30" customHeight="1" thickBot="1">
      <c r="A29" s="134"/>
      <c r="B29" s="135">
        <v>24</v>
      </c>
      <c r="C29" s="129" t="s">
        <v>79</v>
      </c>
      <c r="D29" s="129">
        <v>10</v>
      </c>
      <c r="E29" s="149">
        <v>49.35</v>
      </c>
      <c r="F29" s="140">
        <f>(51.89+51.08+50.91+50.43+50.11+50.17+50.83+50.31+50.29+49.85+50.33+50.01+49.68+49.74+49.35+49.56+50.67+52.79+52.68)/19</f>
        <v>50.562105263157889</v>
      </c>
      <c r="G29" s="7">
        <v>792</v>
      </c>
      <c r="H29" s="131">
        <v>0.50758101851851845</v>
      </c>
      <c r="I29" s="131">
        <f t="shared" si="0"/>
        <v>1.2476851851851767E-2</v>
      </c>
      <c r="J29" s="146">
        <f t="shared" si="2"/>
        <v>9.3425925925925815E-2</v>
      </c>
      <c r="K29" s="133">
        <f t="shared" si="1"/>
        <v>1.2121052631578877</v>
      </c>
      <c r="L29" s="175">
        <f>AVERAGE(K29,K24,K19,K14,K9)</f>
        <v>1.7730139938080398</v>
      </c>
    </row>
    <row r="30" spans="1:12" s="2" customFormat="1" ht="30" customHeight="1" thickBot="1">
      <c r="A30" s="134"/>
      <c r="B30" s="135">
        <v>25</v>
      </c>
      <c r="C30" s="129" t="s">
        <v>186</v>
      </c>
      <c r="D30" s="58">
        <v>13</v>
      </c>
      <c r="E30" s="137">
        <v>49.3</v>
      </c>
      <c r="F30" s="174">
        <f>(59.51+50.75+50.54+50.2+50.11+50.09+49.3+49.72+49.34+51.12+51.37+51+57.58+50.11+51.04+50.36+50.8+53.91+51.7+51.44+51.14+51.13+50.55)/23</f>
        <v>51.426521739130443</v>
      </c>
      <c r="G30" s="129">
        <v>817</v>
      </c>
      <c r="H30" s="131">
        <v>0.52457175925925925</v>
      </c>
      <c r="I30" s="131">
        <f>H30-H29</f>
        <v>1.6990740740740806E-2</v>
      </c>
      <c r="J30" s="150">
        <f t="shared" si="2"/>
        <v>9.9224537037037139E-2</v>
      </c>
      <c r="K30" s="133">
        <f t="shared" si="1"/>
        <v>2.1265217391304461</v>
      </c>
      <c r="L30" s="175">
        <f>AVERAGE(K30,K25,K20,K15,K10)</f>
        <v>1.7474979375696775</v>
      </c>
    </row>
    <row r="31" spans="1:12" s="2" customFormat="1" ht="30" customHeight="1" thickBot="1">
      <c r="A31" s="152"/>
      <c r="B31" s="153" t="s">
        <v>162</v>
      </c>
      <c r="C31" s="129" t="s">
        <v>75</v>
      </c>
      <c r="D31" s="129">
        <v>5</v>
      </c>
      <c r="E31" s="205">
        <v>49.46</v>
      </c>
      <c r="F31" s="206">
        <f>(50.78+50.77+50.98+50.64+50.7+51.15+51.27+50.96+51.73+50.32+51.35+50.39+50.98+50.18+51.19+50.63+49.46+49.98+50+50.15+50.18+49.72+50.94+50.94+50.15+49.84+50.33+50.42)/28</f>
        <v>50.576071428571431</v>
      </c>
      <c r="G31" s="129">
        <v>846</v>
      </c>
      <c r="H31" s="131">
        <v>0.54200231481481487</v>
      </c>
      <c r="I31" s="131">
        <f t="shared" si="0"/>
        <v>1.7430555555555616E-2</v>
      </c>
      <c r="J31" s="154">
        <f t="shared" si="2"/>
        <v>0.11663194444444454</v>
      </c>
      <c r="K31" s="144">
        <f t="shared" si="1"/>
        <v>1.1160714285714306</v>
      </c>
      <c r="L31" s="175">
        <f>AVERAGE(K31,K26,K21,K16,K11,K6)</f>
        <v>2.3583612163299712</v>
      </c>
    </row>
    <row r="32" spans="1:12">
      <c r="E32" s="197">
        <f>AVERAGE(E6:E31)</f>
        <v>51.224615384615383</v>
      </c>
      <c r="F32" s="197">
        <f>AVERAGE(F6:F31)</f>
        <v>53.173253008710581</v>
      </c>
    </row>
  </sheetData>
  <mergeCells count="12">
    <mergeCell ref="I4:J4"/>
    <mergeCell ref="A6:A31"/>
    <mergeCell ref="A1:J1"/>
    <mergeCell ref="A3:J3"/>
    <mergeCell ref="A4:A5"/>
    <mergeCell ref="B4:B5"/>
    <mergeCell ref="C4:C5"/>
    <mergeCell ref="D4:D5"/>
    <mergeCell ref="E4:E5"/>
    <mergeCell ref="F4:F5"/>
    <mergeCell ref="G4:G5"/>
    <mergeCell ref="H4:H5"/>
  </mergeCells>
  <pageMargins left="0.31496062992125984" right="0.31496062992125984" top="0.55118110236220474" bottom="0.11811023622047245" header="0.31496062992125984" footer="0.31496062992125984"/>
  <pageSetup paperSize="9" scale="93" orientation="portrait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32"/>
  <sheetViews>
    <sheetView topLeftCell="A18" zoomScale="75" zoomScaleNormal="75" workbookViewId="0">
      <selection activeCell="F29" sqref="F29"/>
    </sheetView>
  </sheetViews>
  <sheetFormatPr defaultRowHeight="15"/>
  <cols>
    <col min="1" max="1" width="10.5703125" customWidth="1"/>
    <col min="2" max="2" width="7.28515625" customWidth="1"/>
    <col min="3" max="3" width="23.5703125" bestFit="1" customWidth="1"/>
    <col min="4" max="5" width="8.85546875" style="1" customWidth="1"/>
    <col min="6" max="6" width="16" style="1" customWidth="1"/>
    <col min="7" max="7" width="9.42578125" style="1" customWidth="1"/>
    <col min="8" max="8" width="18.5703125" style="1" customWidth="1"/>
    <col min="9" max="9" width="12.85546875" style="1" customWidth="1"/>
    <col min="10" max="10" width="17.5703125" style="1" customWidth="1"/>
  </cols>
  <sheetData>
    <row r="1" spans="1:11" ht="19.5">
      <c r="A1" s="94" t="s">
        <v>146</v>
      </c>
      <c r="B1" s="94"/>
      <c r="C1" s="94"/>
      <c r="D1" s="94"/>
      <c r="E1" s="94"/>
      <c r="F1" s="94"/>
      <c r="G1" s="94"/>
      <c r="H1" s="94"/>
      <c r="I1" s="94"/>
      <c r="J1" s="94"/>
    </row>
    <row r="2" spans="1:11" ht="10.5" customHeight="1"/>
    <row r="3" spans="1:11" ht="15.75" customHeight="1" thickBot="1">
      <c r="A3" s="95" t="s">
        <v>147</v>
      </c>
      <c r="B3" s="95"/>
      <c r="C3" s="95"/>
      <c r="D3" s="95"/>
      <c r="E3" s="95"/>
      <c r="F3" s="95"/>
      <c r="G3" s="95"/>
      <c r="H3" s="95"/>
      <c r="I3" s="95"/>
      <c r="J3" s="95"/>
    </row>
    <row r="4" spans="1:11" s="1" customFormat="1" ht="25.5" customHeight="1">
      <c r="A4" s="114" t="s">
        <v>148</v>
      </c>
      <c r="B4" s="115" t="s">
        <v>149</v>
      </c>
      <c r="C4" s="115" t="s">
        <v>32</v>
      </c>
      <c r="D4" s="116" t="s">
        <v>150</v>
      </c>
      <c r="E4" s="115" t="s">
        <v>175</v>
      </c>
      <c r="F4" s="118" t="s">
        <v>152</v>
      </c>
      <c r="G4" s="115" t="s">
        <v>153</v>
      </c>
      <c r="H4" s="115" t="s">
        <v>154</v>
      </c>
      <c r="I4" s="96" t="s">
        <v>155</v>
      </c>
      <c r="J4" s="119"/>
    </row>
    <row r="5" spans="1:11" s="1" customFormat="1" ht="22.5" customHeight="1" thickBot="1">
      <c r="A5" s="120"/>
      <c r="B5" s="121"/>
      <c r="C5" s="121"/>
      <c r="D5" s="122"/>
      <c r="E5" s="121"/>
      <c r="F5" s="124"/>
      <c r="G5" s="121"/>
      <c r="H5" s="121"/>
      <c r="I5" s="125" t="s">
        <v>156</v>
      </c>
      <c r="J5" s="125" t="s">
        <v>157</v>
      </c>
      <c r="K5" s="197"/>
    </row>
    <row r="6" spans="1:11" s="2" customFormat="1" ht="30" customHeight="1">
      <c r="A6" s="127" t="s">
        <v>38</v>
      </c>
      <c r="B6" s="128">
        <v>1</v>
      </c>
      <c r="C6" s="129" t="s">
        <v>51</v>
      </c>
      <c r="D6" s="129">
        <v>10</v>
      </c>
      <c r="E6" s="129">
        <v>55.44</v>
      </c>
      <c r="F6" s="130">
        <f>(59.21+57.86+57.16+57.28+62.14+56.42+56.15+56.6+56.76+57.06+57.09+56.26+55.44+56.58+56.61+56.92+66.01+55.88+57.19+56.66+56.65+65.48)/22</f>
        <v>57.882272727272742</v>
      </c>
      <c r="G6" s="129">
        <v>22</v>
      </c>
      <c r="H6" s="131">
        <v>1.4849537037037036E-2</v>
      </c>
      <c r="I6" s="131">
        <f>H6</f>
        <v>1.4849537037037036E-2</v>
      </c>
      <c r="J6" s="132">
        <f>I6</f>
        <v>1.4849537037037036E-2</v>
      </c>
      <c r="K6" s="133">
        <f>F6-E6</f>
        <v>2.4422727272727442</v>
      </c>
    </row>
    <row r="7" spans="1:11" s="2" customFormat="1" ht="30" customHeight="1">
      <c r="A7" s="134"/>
      <c r="B7" s="135">
        <v>2</v>
      </c>
      <c r="C7" s="129" t="s">
        <v>121</v>
      </c>
      <c r="D7" s="129">
        <v>15</v>
      </c>
      <c r="E7" s="129">
        <v>52.54</v>
      </c>
      <c r="F7" s="130">
        <f>(56.62+55.94+55.84+55.44+55.23+54.65+56.66+55.44+55.9+55.82+54.72+54.19+54.15+4.1+53.62+54.24+53.55+53.11+54.04+53.11+54.6+53.82+53.98+83.46+53.68+52.76+53.85+53.18+62.08+52.83+64.24+52.54+55.65+52.84+53.42+53.12+52.91+53.76+53.49+52.5+61.79+52.76+53.26+61.23+54.89+54.11)/46</f>
        <v>54.415652173913038</v>
      </c>
      <c r="G7" s="129">
        <v>69</v>
      </c>
      <c r="H7" s="131">
        <v>4.5567129629629631E-2</v>
      </c>
      <c r="I7" s="131">
        <f t="shared" ref="I7:I31" si="0">H7-H6</f>
        <v>3.0717592592592595E-2</v>
      </c>
      <c r="J7" s="132">
        <f>I7</f>
        <v>3.0717592592592595E-2</v>
      </c>
      <c r="K7" s="133">
        <f t="shared" ref="K7:K31" si="1">F7-E7</f>
        <v>1.8756521739130392</v>
      </c>
    </row>
    <row r="8" spans="1:11" s="2" customFormat="1" ht="30" customHeight="1">
      <c r="A8" s="134"/>
      <c r="B8" s="135">
        <v>3</v>
      </c>
      <c r="C8" s="129" t="s">
        <v>39</v>
      </c>
      <c r="D8" s="129">
        <v>21</v>
      </c>
      <c r="E8" s="129">
        <v>55.01</v>
      </c>
      <c r="F8" s="130">
        <f>(57.44+57.04+56.77+57.25+59.35+57.6+56.61+58.64+56.44+56.26+63.32+56.04+55.42+55.68+56.38+56.1+55.98+55.8+55.01+56.28+55.71+56.17+55.6+55.99)/24</f>
        <v>56.786666666666669</v>
      </c>
      <c r="G8" s="129">
        <v>94</v>
      </c>
      <c r="H8" s="131">
        <v>6.2743055555555552E-2</v>
      </c>
      <c r="I8" s="131">
        <f t="shared" si="0"/>
        <v>1.7175925925925921E-2</v>
      </c>
      <c r="J8" s="132">
        <f>I8</f>
        <v>1.7175925925925921E-2</v>
      </c>
      <c r="K8" s="133">
        <f t="shared" si="1"/>
        <v>1.7766666666666708</v>
      </c>
    </row>
    <row r="9" spans="1:11" s="2" customFormat="1" ht="30" customHeight="1">
      <c r="A9" s="134"/>
      <c r="B9" s="135">
        <v>4</v>
      </c>
      <c r="C9" s="129" t="s">
        <v>124</v>
      </c>
      <c r="D9" s="129">
        <v>5</v>
      </c>
      <c r="E9" s="129">
        <v>55.03</v>
      </c>
      <c r="F9" s="130">
        <f>(56.09+56.86+55.81+56.42+56.6+55.85+56.25+55.96+56.06+57.27+55.04+55.92+56.26+62.25+55.58+55.71+55.04+55.74+55.41+55.15+55.14+55.27+55.34+55.41+55.03+55.51)/26</f>
        <v>56.037307692307699</v>
      </c>
      <c r="G9" s="129">
        <v>121</v>
      </c>
      <c r="H9" s="131">
        <v>8.0937499999999996E-2</v>
      </c>
      <c r="I9" s="131">
        <f t="shared" si="0"/>
        <v>1.8194444444444444E-2</v>
      </c>
      <c r="J9" s="132">
        <f>I9</f>
        <v>1.8194444444444444E-2</v>
      </c>
      <c r="K9" s="133">
        <f t="shared" si="1"/>
        <v>1.0073076923076982</v>
      </c>
    </row>
    <row r="10" spans="1:11" s="2" customFormat="1" ht="30" customHeight="1">
      <c r="A10" s="134"/>
      <c r="B10" s="135">
        <v>5</v>
      </c>
      <c r="C10" s="129" t="s">
        <v>43</v>
      </c>
      <c r="D10" s="129">
        <v>6</v>
      </c>
      <c r="E10" s="7">
        <v>55.05</v>
      </c>
      <c r="F10" s="130">
        <f>(56.65+56.29+67.98+56.61+56.48+56.51+56.06+55.58+56.22+56.03+55.25+55.7+55.76+68.05+55.76+55.34+64.27+54.74+55.05+55.28+55.29+55.6+58.4+55.8+55.89+56.07+56.19+57.55+56.99+56.83+60.61+56.22+56.88)/33</f>
        <v>57.209999999999994</v>
      </c>
      <c r="G10" s="129">
        <v>155</v>
      </c>
      <c r="H10" s="131">
        <v>0.10440972222222222</v>
      </c>
      <c r="I10" s="131">
        <f t="shared" si="0"/>
        <v>2.3472222222222228E-2</v>
      </c>
      <c r="J10" s="132">
        <f>I10</f>
        <v>2.3472222222222228E-2</v>
      </c>
      <c r="K10" s="133">
        <f t="shared" si="1"/>
        <v>2.1599999999999966</v>
      </c>
    </row>
    <row r="11" spans="1:11" s="2" customFormat="1" ht="30" customHeight="1">
      <c r="A11" s="134"/>
      <c r="B11" s="135">
        <v>6</v>
      </c>
      <c r="C11" s="129" t="s">
        <v>47</v>
      </c>
      <c r="D11" s="129">
        <v>10</v>
      </c>
      <c r="E11" s="129">
        <v>52.74</v>
      </c>
      <c r="F11" s="130">
        <f>(54.93+58.64+58.78+54.93+53.89+53.48+53.8+52.99+53.38+54.21+55.66+53.83+55.79+52.92+57.56+52.89+62.17+53.38+54.6+54.06+54.18+54.77+52.74+53.19+55.23+53.6+60.19+68.15+55.88+56.38+54.79+53.97+53.92+53.67+53.61+54.11+53.73+53.61+53.85+54.3+55.21+53.61+53.67+53.82)/45</f>
        <v>53.823777777777792</v>
      </c>
      <c r="G11" s="129">
        <v>201</v>
      </c>
      <c r="H11" s="131">
        <v>0.13457175925925927</v>
      </c>
      <c r="I11" s="131">
        <f t="shared" si="0"/>
        <v>3.0162037037037043E-2</v>
      </c>
      <c r="J11" s="132">
        <f>I11</f>
        <v>3.0162037037037043E-2</v>
      </c>
      <c r="K11" s="133">
        <f t="shared" si="1"/>
        <v>1.0837777777777902</v>
      </c>
    </row>
    <row r="12" spans="1:11" s="2" customFormat="1" ht="30" customHeight="1">
      <c r="A12" s="134"/>
      <c r="B12" s="135">
        <v>7</v>
      </c>
      <c r="C12" s="129" t="s">
        <v>51</v>
      </c>
      <c r="D12" s="129">
        <v>12</v>
      </c>
      <c r="E12" s="129">
        <v>52.47</v>
      </c>
      <c r="F12" s="130">
        <f>(56.8+54.97+55.23+57.65+53.94+55.5+54.11+54.7+54.81+53.85+53.29+64.31+53.24+64.13+53.71+54.38+55.38+54.48+58.79+56.67+53.55+53.07+53.35+54.66+54.57+56.4+54.75+54.41+54.15+53.44+58.36+54.67+52.85+53.41+53.45+54.67+52.91+53.41+52.87+52.98+53.02+52.96+52.39+52.55+52.47+52.54+56.28+56.46+53.13)/49</f>
        <v>54.768775510204094</v>
      </c>
      <c r="G12" s="129">
        <v>251</v>
      </c>
      <c r="H12" s="131">
        <v>0.16699074074074075</v>
      </c>
      <c r="I12" s="131">
        <f t="shared" si="0"/>
        <v>3.2418981481481479E-2</v>
      </c>
      <c r="J12" s="132">
        <f t="shared" ref="J12:J18" si="2">I12+J6</f>
        <v>4.7268518518518515E-2</v>
      </c>
      <c r="K12" s="133">
        <f t="shared" si="1"/>
        <v>2.298775510204095</v>
      </c>
    </row>
    <row r="13" spans="1:11" s="2" customFormat="1" ht="30" customHeight="1">
      <c r="A13" s="134"/>
      <c r="B13" s="135">
        <v>8</v>
      </c>
      <c r="C13" s="129" t="s">
        <v>121</v>
      </c>
      <c r="D13" s="129">
        <v>13</v>
      </c>
      <c r="E13" s="129">
        <v>49.74</v>
      </c>
      <c r="F13" s="130">
        <f>(50.55+51.5+50.89+51.32+50.87+61.84+50.18+51.97+50.99+50.9+51.27+51.04+50.4+50.8+50.55+50.14+50.24+50.62+52.71+50.89+51.18+50.63+50.24+49.92+50.55+49.8+50.54+50.66+49.89+49.74+51.01+49.9+50.28+50.45)/34</f>
        <v>51.013529411764715</v>
      </c>
      <c r="G13" s="129">
        <v>286</v>
      </c>
      <c r="H13" s="131">
        <v>0.18839120370370369</v>
      </c>
      <c r="I13" s="131">
        <f t="shared" si="0"/>
        <v>2.1400462962962941E-2</v>
      </c>
      <c r="J13" s="132">
        <f t="shared" si="2"/>
        <v>5.2118055555555536E-2</v>
      </c>
      <c r="K13" s="133">
        <f t="shared" si="1"/>
        <v>1.2735294117647129</v>
      </c>
    </row>
    <row r="14" spans="1:11" s="2" customFormat="1" ht="30" customHeight="1">
      <c r="A14" s="134"/>
      <c r="B14" s="135">
        <v>9</v>
      </c>
      <c r="C14" s="129" t="s">
        <v>39</v>
      </c>
      <c r="D14" s="129">
        <v>21</v>
      </c>
      <c r="E14" s="129">
        <v>51.41</v>
      </c>
      <c r="F14" s="130">
        <f>(54.28+58.04+55.09+52.94+53.05+52.87+53.23+52.04+51.94+51.44+67.04+52.04+52.11+51.82+51.75+51.93+53.34+51.98+51.49+51.53+51.41+51.96+51.47+51.41+52.82+51.52+52.74+52.41+51.95+51.74+51.72)/31</f>
        <v>52.938709677419368</v>
      </c>
      <c r="G14" s="129">
        <v>318</v>
      </c>
      <c r="H14" s="131">
        <v>0.20872685185185183</v>
      </c>
      <c r="I14" s="131">
        <f t="shared" si="0"/>
        <v>2.0335648148148144E-2</v>
      </c>
      <c r="J14" s="132">
        <f t="shared" si="2"/>
        <v>3.7511574074074065E-2</v>
      </c>
      <c r="K14" s="133">
        <f t="shared" si="1"/>
        <v>1.5287096774193714</v>
      </c>
    </row>
    <row r="15" spans="1:11" s="2" customFormat="1" ht="30" customHeight="1">
      <c r="A15" s="134"/>
      <c r="B15" s="135">
        <v>10</v>
      </c>
      <c r="C15" s="129" t="s">
        <v>124</v>
      </c>
      <c r="D15" s="129">
        <v>15</v>
      </c>
      <c r="E15" s="129">
        <v>51.22</v>
      </c>
      <c r="F15" s="130">
        <f>(53.45+52.48+51.97+52.21+55.44+52.33+56+54.62+52.46+51.76+51.3+51.57+51.41+51.58+52.16+51.6+55.42+51.45+51.68+52.9+52.04+51.91+51.22)/23</f>
        <v>52.563478260869566</v>
      </c>
      <c r="G15" s="129">
        <v>342</v>
      </c>
      <c r="H15" s="131">
        <v>0.22408564814814813</v>
      </c>
      <c r="I15" s="131">
        <f t="shared" si="0"/>
        <v>1.5358796296296301E-2</v>
      </c>
      <c r="J15" s="132">
        <f t="shared" si="2"/>
        <v>3.3553240740740745E-2</v>
      </c>
      <c r="K15" s="133">
        <f t="shared" si="1"/>
        <v>1.343478260869567</v>
      </c>
    </row>
    <row r="16" spans="1:11" s="2" customFormat="1" ht="30" customHeight="1">
      <c r="A16" s="134"/>
      <c r="B16" s="135">
        <v>11</v>
      </c>
      <c r="C16" s="129" t="s">
        <v>43</v>
      </c>
      <c r="D16" s="129">
        <v>21</v>
      </c>
      <c r="E16" s="129">
        <v>52.91</v>
      </c>
      <c r="F16" s="130">
        <f>(52.91+53.29+53.23+53.83+53.92+53.98+53.47+53.39+53.38+54.59+53.45+53.36+54.18+54.46+53.65+53.36+53.23+53.34+53.31)/19</f>
        <v>53.596315789473692</v>
      </c>
      <c r="G16" s="129">
        <v>362</v>
      </c>
      <c r="H16" s="131">
        <v>0.2371875</v>
      </c>
      <c r="I16" s="131">
        <f t="shared" si="0"/>
        <v>1.3101851851851865E-2</v>
      </c>
      <c r="J16" s="132">
        <f t="shared" si="2"/>
        <v>3.6574074074074092E-2</v>
      </c>
      <c r="K16" s="133">
        <f t="shared" si="1"/>
        <v>0.68631578947369576</v>
      </c>
    </row>
    <row r="17" spans="1:12" s="2" customFormat="1" ht="30" customHeight="1">
      <c r="A17" s="134"/>
      <c r="B17" s="135">
        <v>12</v>
      </c>
      <c r="C17" s="129" t="s">
        <v>47</v>
      </c>
      <c r="D17" s="129">
        <v>12</v>
      </c>
      <c r="E17" s="129">
        <v>51.84</v>
      </c>
      <c r="F17" s="130">
        <f>(52.63+52.62+53.27+51.84+52.31+52.25+52.27+52.52+52.46+60.92+56.07+52.17+55.35+53.09+56.94+53.11+54.12+54.67+56.02)/19</f>
        <v>53.927894736842113</v>
      </c>
      <c r="G17" s="129">
        <v>382</v>
      </c>
      <c r="H17" s="131">
        <v>0.25040509259259258</v>
      </c>
      <c r="I17" s="131">
        <f t="shared" si="0"/>
        <v>1.3217592592592586E-2</v>
      </c>
      <c r="J17" s="132">
        <f t="shared" si="2"/>
        <v>4.3379629629629629E-2</v>
      </c>
      <c r="K17" s="133">
        <f t="shared" si="1"/>
        <v>2.0878947368421095</v>
      </c>
    </row>
    <row r="18" spans="1:12" s="2" customFormat="1" ht="30" customHeight="1">
      <c r="A18" s="134"/>
      <c r="B18" s="135">
        <v>13</v>
      </c>
      <c r="C18" s="129" t="s">
        <v>51</v>
      </c>
      <c r="D18" s="129">
        <v>15</v>
      </c>
      <c r="E18" s="129">
        <v>55.71</v>
      </c>
      <c r="F18" s="130">
        <f>(59.12+57.89+58.45+57.9+57.93+56.86+56.9+56.12+56.63+61.23+60.33+64.55+55.71+56.58+59.35+56.9+57.01)/17</f>
        <v>58.203529411764706</v>
      </c>
      <c r="G18" s="129">
        <v>401</v>
      </c>
      <c r="H18" s="131">
        <v>0.26430555555555557</v>
      </c>
      <c r="I18" s="131">
        <f t="shared" si="0"/>
        <v>1.3900462962962989E-2</v>
      </c>
      <c r="J18" s="132">
        <f t="shared" si="2"/>
        <v>6.1168981481481505E-2</v>
      </c>
      <c r="K18" s="133">
        <f t="shared" si="1"/>
        <v>2.4935294117647047</v>
      </c>
    </row>
    <row r="19" spans="1:12" s="2" customFormat="1" ht="30" customHeight="1">
      <c r="A19" s="134"/>
      <c r="B19" s="135">
        <v>14</v>
      </c>
      <c r="C19" s="129" t="s">
        <v>39</v>
      </c>
      <c r="D19" s="129">
        <v>5</v>
      </c>
      <c r="E19" s="129">
        <v>53.76</v>
      </c>
      <c r="F19" s="130">
        <f>(63.78+58.54+79.8+58.98+58.21+57.44+57.56+62.16+57.12+60.3+59.18+56.6+56.76+57.24+57.41+56.19+56.21+55.44+55.73+56.08+54.96+65.6+54.97+54.54+54.07+55.44+53.76+56.25)/28</f>
        <v>58.225714285714282</v>
      </c>
      <c r="G19" s="129">
        <v>431</v>
      </c>
      <c r="H19" s="131">
        <v>0.28743055555555558</v>
      </c>
      <c r="I19" s="131">
        <f t="shared" si="0"/>
        <v>2.3125000000000007E-2</v>
      </c>
      <c r="J19" s="132">
        <f>I19+J14</f>
        <v>6.0636574074074072E-2</v>
      </c>
      <c r="K19" s="133">
        <f t="shared" si="1"/>
        <v>4.4657142857142844</v>
      </c>
    </row>
    <row r="20" spans="1:12" s="2" customFormat="1" ht="30" customHeight="1">
      <c r="A20" s="134"/>
      <c r="B20" s="135">
        <v>15</v>
      </c>
      <c r="C20" s="129" t="s">
        <v>124</v>
      </c>
      <c r="D20" s="129">
        <v>6</v>
      </c>
      <c r="E20" s="129">
        <v>53.65</v>
      </c>
      <c r="F20" s="130">
        <f>(56.82+57.22+60.32+59.27+56.37+55.81+55.62+57.97+55.08+55.48+59.82+56.42+54.1+55.78+55.67+60.66+56.25+54.72+55.45+55.21+54.82+56.86+53.65+55.55+55.41+54.58+56.1+55.62)/28</f>
        <v>56.308214285714271</v>
      </c>
      <c r="G20" s="129">
        <v>460</v>
      </c>
      <c r="H20" s="131">
        <v>0.30708333333333332</v>
      </c>
      <c r="I20" s="131">
        <f t="shared" si="0"/>
        <v>1.9652777777777741E-2</v>
      </c>
      <c r="J20" s="132">
        <f>I20+J15</f>
        <v>5.3206018518518486E-2</v>
      </c>
      <c r="K20" s="133">
        <f t="shared" si="1"/>
        <v>2.6582142857142728</v>
      </c>
    </row>
    <row r="21" spans="1:12" s="2" customFormat="1" ht="30" customHeight="1">
      <c r="A21" s="134"/>
      <c r="B21" s="135">
        <v>16</v>
      </c>
      <c r="C21" s="129" t="s">
        <v>121</v>
      </c>
      <c r="D21" s="129">
        <v>5</v>
      </c>
      <c r="E21" s="129">
        <v>52.86</v>
      </c>
      <c r="F21" s="130">
        <f>(67.96+56+54.95+55.35+54.38+54.24+54.44+54.41+53.85+54.08+53.88+54.33+54.31+56.29+54+53.59+53.74+53.65+53.7+54.46+59.67+53.62+53.69+53.64+54.04+53.83+53.57+54.03+53.83+53.51+54.45+53.05+53.11+52.93+53.69+53.26+53.48+53.2+53.13+42.91+53.16+53.68+52.86)/43</f>
        <v>54.13837209302325</v>
      </c>
      <c r="G21" s="129">
        <v>504</v>
      </c>
      <c r="H21" s="131">
        <v>0.33552083333333332</v>
      </c>
      <c r="I21" s="131">
        <f t="shared" si="0"/>
        <v>2.8437500000000004E-2</v>
      </c>
      <c r="J21" s="132">
        <f>I21+J13</f>
        <v>8.0555555555555547E-2</v>
      </c>
      <c r="K21" s="133">
        <f t="shared" si="1"/>
        <v>1.2783720930232505</v>
      </c>
    </row>
    <row r="22" spans="1:12" s="2" customFormat="1" ht="30" customHeight="1">
      <c r="A22" s="134"/>
      <c r="B22" s="135">
        <v>17</v>
      </c>
      <c r="C22" s="129" t="s">
        <v>43</v>
      </c>
      <c r="D22" s="129">
        <v>15</v>
      </c>
      <c r="E22" s="129">
        <v>51.81</v>
      </c>
      <c r="F22" s="130">
        <f>(54.27+56.09+54.96+55.28+54.06+55.42+54.33+53.82+54.3+54.05+53.9+52.54+54.46+53.62+53.39+53.25+53.59+54.01+52.97+53.25+52.97+52.94+53.46+52.81+53.7+53.48+52.99+52.49+53.25+52.85+53.24+52.72+52.55+52.67+53.05+53.13+52.39+53.21+53.71+53.82+53.75+53.51+53.15+52.96+52.53+52.48+52.43+53.02+52.42+52.28+51.81+52.84)/52</f>
        <v>53.387884615384635</v>
      </c>
      <c r="G22" s="129">
        <v>557</v>
      </c>
      <c r="H22" s="131">
        <v>0.36906250000000002</v>
      </c>
      <c r="I22" s="131">
        <f t="shared" si="0"/>
        <v>3.3541666666666692E-2</v>
      </c>
      <c r="J22" s="132">
        <f>I22+J16</f>
        <v>7.0115740740740784E-2</v>
      </c>
      <c r="K22" s="133">
        <f t="shared" si="1"/>
        <v>1.5778846153846331</v>
      </c>
    </row>
    <row r="23" spans="1:12" s="2" customFormat="1" ht="30" customHeight="1">
      <c r="A23" s="134"/>
      <c r="B23" s="135">
        <v>18</v>
      </c>
      <c r="C23" s="129" t="s">
        <v>47</v>
      </c>
      <c r="D23" s="129">
        <v>13</v>
      </c>
      <c r="E23" s="129">
        <v>51.15</v>
      </c>
      <c r="F23" s="130">
        <f>(53.29+56.55+53.37+53.82+54.01+53.67+53.58+54.54+52.2+52.19+52.83+52.97+55.47+52.88+52.73+52.88+52.19+52.06+51.8+52.11+51.59+51.84+51.7+51.91+52.9+52.01+52.31+52.23+51.15+52.2+52.71+52.58+51.73+51.87+52.82+52.29+58.21+51.83+54.4+52.79+52.74+53.3+52.5+52.4+54.13)/45</f>
        <v>52.917333333333325</v>
      </c>
      <c r="G23" s="129">
        <v>603</v>
      </c>
      <c r="H23" s="131">
        <v>0.39796296296296302</v>
      </c>
      <c r="I23" s="131">
        <f t="shared" si="0"/>
        <v>2.8900462962963003E-2</v>
      </c>
      <c r="J23" s="132">
        <f>I23+J17</f>
        <v>7.2280092592592632E-2</v>
      </c>
      <c r="K23" s="133">
        <f t="shared" si="1"/>
        <v>1.7673333333333261</v>
      </c>
    </row>
    <row r="24" spans="1:12" s="2" customFormat="1" ht="30" customHeight="1">
      <c r="A24" s="134"/>
      <c r="B24" s="135">
        <v>19</v>
      </c>
      <c r="C24" s="129" t="s">
        <v>39</v>
      </c>
      <c r="D24" s="129">
        <v>5</v>
      </c>
      <c r="E24" s="129">
        <v>53.81</v>
      </c>
      <c r="F24" s="130">
        <f>(53.81+53.58+60.19+55.67+56.23+55.32+55.24+54.95+60.73+55.9+54.41+54.73+55.45+54.47+54.26+59.67+54.67)/17</f>
        <v>55.839999999999996</v>
      </c>
      <c r="G24" s="129">
        <v>622</v>
      </c>
      <c r="H24" s="131">
        <v>0.41309027777777779</v>
      </c>
      <c r="I24" s="131">
        <f t="shared" si="0"/>
        <v>1.5127314814814774E-2</v>
      </c>
      <c r="J24" s="132">
        <f>I24+J19</f>
        <v>7.5763888888888853E-2</v>
      </c>
      <c r="K24" s="133">
        <f t="shared" si="1"/>
        <v>2.029999999999994</v>
      </c>
    </row>
    <row r="25" spans="1:12" s="2" customFormat="1" ht="30" customHeight="1" thickBot="1">
      <c r="A25" s="134"/>
      <c r="B25" s="135">
        <v>20</v>
      </c>
      <c r="C25" s="129" t="s">
        <v>121</v>
      </c>
      <c r="D25" s="129">
        <v>12</v>
      </c>
      <c r="E25" s="136">
        <v>51.11</v>
      </c>
      <c r="F25" s="130">
        <f>(53.18+52.66+52.56+53.05+52.15+51.91+53.28+51.69+51.71+52.84+52.54+52.1+51.18+51.45+51.39+51.34+51.11+52.99+51.32+51.11+52.66+51.14+51.15)/23</f>
        <v>52.022173913043488</v>
      </c>
      <c r="G25" s="129">
        <v>646</v>
      </c>
      <c r="H25" s="131">
        <v>0.42831018518518515</v>
      </c>
      <c r="I25" s="131">
        <f t="shared" si="0"/>
        <v>1.5219907407407363E-2</v>
      </c>
      <c r="J25" s="132">
        <f>I25+J21</f>
        <v>9.577546296296291E-2</v>
      </c>
      <c r="K25" s="133">
        <f t="shared" si="1"/>
        <v>0.91217391304348894</v>
      </c>
    </row>
    <row r="26" spans="1:12" s="2" customFormat="1" ht="30" customHeight="1" thickBot="1">
      <c r="A26" s="134"/>
      <c r="B26" s="135">
        <v>21</v>
      </c>
      <c r="C26" s="129" t="s">
        <v>51</v>
      </c>
      <c r="D26" s="58">
        <v>12</v>
      </c>
      <c r="E26" s="137">
        <v>51.12</v>
      </c>
      <c r="F26" s="138">
        <f>(53.79+53.6+53.29+53.53+59.15+52.66+53.79+51.71+52.17+53.53+53.74+54.48+59.65+53.4+53.05+53.11+52.95+64.62+55.76+52.67+52.35+52.04+52.98+53.67+52.97+54.48+64.05+53.75+77.65+52.55+53.04+51.58+52.19+54.06+52.65+52.82+51.12+52.28+51.92+53.01+53.76+55.5)/43</f>
        <v>53.280697674418619</v>
      </c>
      <c r="G26" s="129">
        <v>690</v>
      </c>
      <c r="H26" s="131">
        <v>0.45804398148148145</v>
      </c>
      <c r="I26" s="131">
        <f t="shared" si="0"/>
        <v>2.97337962962963E-2</v>
      </c>
      <c r="J26" s="154">
        <f>I26+J18</f>
        <v>9.0902777777777805E-2</v>
      </c>
      <c r="K26" s="133">
        <f t="shared" si="1"/>
        <v>2.1606976744186213</v>
      </c>
      <c r="L26" s="175">
        <f>AVERAGE(K26,K18,K12,K6)</f>
        <v>2.3488188309150413</v>
      </c>
    </row>
    <row r="27" spans="1:12" s="2" customFormat="1" ht="30" customHeight="1" thickBot="1">
      <c r="A27" s="134"/>
      <c r="B27" s="135">
        <v>22</v>
      </c>
      <c r="C27" s="167" t="s">
        <v>124</v>
      </c>
      <c r="D27" s="58">
        <v>3</v>
      </c>
      <c r="E27" s="148">
        <v>48.82</v>
      </c>
      <c r="F27" s="140">
        <f>(50.17+49.02+49.26+48.82+49.74+51.77+58.69+48.24+50.39+49.26+49.82+49.76+50.06+49.07+56.76+48.98+49+48.82+49.12+49.16+50.26+49.49+49.21+49.59+49.33+48.84+50.01+51.63+49.74+49.23+50.26+50.24+50.32+51.37+50.49+51.11+50.92+50.78+53.1+50.36+50.98)/41</f>
        <v>50.321219512195114</v>
      </c>
      <c r="G27" s="141">
        <v>732</v>
      </c>
      <c r="H27" s="131">
        <v>0.48336805555555556</v>
      </c>
      <c r="I27" s="131">
        <f t="shared" si="0"/>
        <v>2.532407407407411E-2</v>
      </c>
      <c r="J27" s="207">
        <f>I27+J20</f>
        <v>7.8530092592592596E-2</v>
      </c>
      <c r="K27" s="133">
        <f t="shared" si="1"/>
        <v>1.5012195121951137</v>
      </c>
      <c r="L27" s="175">
        <f>AVERAGE(K27,K20,K15,K9)</f>
        <v>1.6275549377716629</v>
      </c>
    </row>
    <row r="28" spans="1:12" s="2" customFormat="1" ht="30" customHeight="1" thickBot="1">
      <c r="A28" s="134"/>
      <c r="B28" s="135">
        <v>23</v>
      </c>
      <c r="C28" s="129" t="s">
        <v>47</v>
      </c>
      <c r="D28" s="58">
        <v>13</v>
      </c>
      <c r="E28" s="137">
        <v>50.99</v>
      </c>
      <c r="F28" s="174">
        <f>(52.24+52.04+52.15+52.04+52.39+52.05+52.06+54.57+52.56+51.74+51.87+51.52+51.41+51.71+51.65+51.39+51.93+50.99+51.22+51.86+51.83+51.32+52.31)/23</f>
        <v>51.949999999999989</v>
      </c>
      <c r="G28" s="129">
        <v>756</v>
      </c>
      <c r="H28" s="131">
        <v>0.49834490740740739</v>
      </c>
      <c r="I28" s="131">
        <f t="shared" si="0"/>
        <v>1.4976851851851825E-2</v>
      </c>
      <c r="J28" s="146">
        <f>I28+J23</f>
        <v>8.7256944444444456E-2</v>
      </c>
      <c r="K28" s="133">
        <f t="shared" si="1"/>
        <v>0.95999999999998664</v>
      </c>
      <c r="L28" s="175">
        <f>AVERAGE(K28,K23,K17,K11)</f>
        <v>1.4747514619883031</v>
      </c>
    </row>
    <row r="29" spans="1:12" s="2" customFormat="1" ht="30" customHeight="1" thickBot="1">
      <c r="A29" s="134"/>
      <c r="B29" s="135">
        <v>24</v>
      </c>
      <c r="C29" s="129" t="s">
        <v>39</v>
      </c>
      <c r="D29" s="58">
        <v>14</v>
      </c>
      <c r="E29" s="137">
        <v>49.6</v>
      </c>
      <c r="F29" s="147">
        <f>(51.48+51.97+52.39+50.52+51.05+50.13+50.23+50.87+52.27+61.78+50.94+51+50.64+50.11+54.47+50.28+62.33+53.98+50.41+49.6+50.41)/21</f>
        <v>52.231428571428566</v>
      </c>
      <c r="G29" s="7">
        <v>779</v>
      </c>
      <c r="H29" s="131">
        <v>0.51296296296296295</v>
      </c>
      <c r="I29" s="131">
        <f t="shared" si="0"/>
        <v>1.4618055555555565E-2</v>
      </c>
      <c r="J29" s="151">
        <f>I29+J24</f>
        <v>9.0381944444444418E-2</v>
      </c>
      <c r="K29" s="133">
        <f t="shared" si="1"/>
        <v>2.6314285714285646</v>
      </c>
      <c r="L29" s="175">
        <f>AVERAGE(K29,K24,K19,K14,K8)</f>
        <v>2.4865038402457769</v>
      </c>
    </row>
    <row r="30" spans="1:12" s="2" customFormat="1" ht="30" customHeight="1" thickBot="1">
      <c r="A30" s="134"/>
      <c r="B30" s="135">
        <v>25</v>
      </c>
      <c r="C30" s="129" t="s">
        <v>121</v>
      </c>
      <c r="D30" s="58">
        <v>10</v>
      </c>
      <c r="E30" s="137">
        <v>49.73</v>
      </c>
      <c r="F30" s="147">
        <f>(50.96+50.64+50.74+62.78+50.48+51.29+50.79+50.94+51.03+50.32+50.57+50.15+49.73+49.82)/14</f>
        <v>51.445714285714303</v>
      </c>
      <c r="G30" s="129">
        <v>795</v>
      </c>
      <c r="H30" s="131">
        <v>0.52435185185185185</v>
      </c>
      <c r="I30" s="131">
        <f>H30-H29</f>
        <v>1.1388888888888893E-2</v>
      </c>
      <c r="J30" s="190">
        <f>I30+J25</f>
        <v>0.1071643518518518</v>
      </c>
      <c r="K30" s="133">
        <f t="shared" si="1"/>
        <v>1.7157142857143057</v>
      </c>
      <c r="L30" s="175">
        <f>AVERAGE(K30,K25,K21,K13,K7)</f>
        <v>1.4110883754917594</v>
      </c>
    </row>
    <row r="31" spans="1:12" s="2" customFormat="1" ht="30" customHeight="1" thickBot="1">
      <c r="A31" s="152"/>
      <c r="B31" s="153" t="s">
        <v>162</v>
      </c>
      <c r="C31" s="129" t="s">
        <v>43</v>
      </c>
      <c r="D31" s="58">
        <v>15</v>
      </c>
      <c r="E31" s="142">
        <v>51.74</v>
      </c>
      <c r="F31" s="193">
        <f>(52.52+52.55+51.91+52.38+52.85+52.46+55.33+52.14+52.23+52+51.74+52.84+51.75+53.05+52.09+52.31+53.57+52.08+52.08+52.14+52.42+41.9+51.9+52.05+51.51+59.99+53.53)/27</f>
        <v>52.345185185185194</v>
      </c>
      <c r="G31" s="129">
        <v>823</v>
      </c>
      <c r="H31" s="131">
        <v>0.54200231481481487</v>
      </c>
      <c r="I31" s="131">
        <f t="shared" si="0"/>
        <v>1.7650462962963021E-2</v>
      </c>
      <c r="J31" s="150">
        <f>I31+J22</f>
        <v>8.7766203703703805E-2</v>
      </c>
      <c r="K31" s="144">
        <f t="shared" si="1"/>
        <v>0.60518518518519215</v>
      </c>
      <c r="L31" s="195">
        <f>AVERAGE(K31,K22,K16,K10)</f>
        <v>1.2573463975108794</v>
      </c>
    </row>
    <row r="32" spans="1:12">
      <c r="E32" s="208">
        <f>AVERAGE(E6:E31)</f>
        <v>52.356153846153838</v>
      </c>
      <c r="F32" s="197">
        <f>AVERAGE(F6:F31)</f>
        <v>54.137763368901197</v>
      </c>
    </row>
  </sheetData>
  <mergeCells count="12">
    <mergeCell ref="I4:J4"/>
    <mergeCell ref="A6:A31"/>
    <mergeCell ref="A1:J1"/>
    <mergeCell ref="A3:J3"/>
    <mergeCell ref="A4:A5"/>
    <mergeCell ref="B4:B5"/>
    <mergeCell ref="C4:C5"/>
    <mergeCell ref="D4:D5"/>
    <mergeCell ref="E4:E5"/>
    <mergeCell ref="F4:F5"/>
    <mergeCell ref="G4:G5"/>
    <mergeCell ref="H4:H5"/>
  </mergeCells>
  <pageMargins left="0.31496062992125984" right="0.31496062992125984" top="0.55118110236220474" bottom="0.11811023622047245" header="0.31496062992125984" footer="0.31496062992125984"/>
  <pageSetup paperSize="9" scale="93" orientation="portrait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32"/>
  <sheetViews>
    <sheetView zoomScale="75" zoomScaleNormal="75" workbookViewId="0">
      <selection activeCell="F29" sqref="F29"/>
    </sheetView>
  </sheetViews>
  <sheetFormatPr defaultRowHeight="15"/>
  <cols>
    <col min="1" max="1" width="10.5703125" customWidth="1"/>
    <col min="2" max="2" width="7.28515625" customWidth="1"/>
    <col min="3" max="3" width="20.85546875" bestFit="1" customWidth="1"/>
    <col min="4" max="5" width="8.85546875" style="1" customWidth="1"/>
    <col min="6" max="6" width="16.7109375" style="1" customWidth="1"/>
    <col min="7" max="7" width="9.42578125" style="1" customWidth="1"/>
    <col min="8" max="8" width="18.5703125" style="1" customWidth="1"/>
    <col min="9" max="9" width="12.85546875" style="1" customWidth="1"/>
    <col min="10" max="10" width="17.5703125" style="1" customWidth="1"/>
  </cols>
  <sheetData>
    <row r="1" spans="1:11" ht="19.5">
      <c r="A1" s="94" t="s">
        <v>146</v>
      </c>
      <c r="B1" s="94"/>
      <c r="C1" s="94"/>
      <c r="D1" s="94"/>
      <c r="E1" s="94"/>
      <c r="F1" s="94"/>
      <c r="G1" s="94"/>
      <c r="H1" s="94"/>
      <c r="I1" s="94"/>
      <c r="J1" s="94"/>
    </row>
    <row r="2" spans="1:11" ht="10.5" customHeight="1"/>
    <row r="3" spans="1:11" ht="15.75" customHeight="1" thickBot="1">
      <c r="A3" s="95" t="s">
        <v>147</v>
      </c>
      <c r="B3" s="95"/>
      <c r="C3" s="95"/>
      <c r="D3" s="95"/>
      <c r="E3" s="95"/>
      <c r="F3" s="95"/>
      <c r="G3" s="95"/>
      <c r="H3" s="95"/>
      <c r="I3" s="95"/>
      <c r="J3" s="95"/>
    </row>
    <row r="4" spans="1:11" s="1" customFormat="1" ht="25.5" customHeight="1">
      <c r="A4" s="114" t="s">
        <v>148</v>
      </c>
      <c r="B4" s="115" t="s">
        <v>149</v>
      </c>
      <c r="C4" s="115" t="s">
        <v>32</v>
      </c>
      <c r="D4" s="116" t="s">
        <v>150</v>
      </c>
      <c r="E4" s="117" t="s">
        <v>151</v>
      </c>
      <c r="F4" s="118" t="s">
        <v>152</v>
      </c>
      <c r="G4" s="115" t="s">
        <v>153</v>
      </c>
      <c r="H4" s="115" t="s">
        <v>154</v>
      </c>
      <c r="I4" s="96" t="s">
        <v>155</v>
      </c>
      <c r="J4" s="119"/>
    </row>
    <row r="5" spans="1:11" s="1" customFormat="1" ht="22.5" customHeight="1" thickBot="1">
      <c r="A5" s="120"/>
      <c r="B5" s="121"/>
      <c r="C5" s="121"/>
      <c r="D5" s="122"/>
      <c r="E5" s="123"/>
      <c r="F5" s="124"/>
      <c r="G5" s="121"/>
      <c r="H5" s="121"/>
      <c r="I5" s="125" t="s">
        <v>156</v>
      </c>
      <c r="J5" s="125" t="s">
        <v>157</v>
      </c>
      <c r="K5" s="126"/>
    </row>
    <row r="6" spans="1:11" s="2" customFormat="1" ht="30" customHeight="1">
      <c r="A6" s="127" t="s">
        <v>187</v>
      </c>
      <c r="B6" s="128">
        <v>1</v>
      </c>
      <c r="C6" s="129" t="s">
        <v>109</v>
      </c>
      <c r="D6" s="129">
        <v>6</v>
      </c>
      <c r="E6" s="129">
        <v>54.74</v>
      </c>
      <c r="F6" s="130">
        <f>(58.94+60.76+56.14+57.62+57.86+56.18+55.79+56.12+55.87+55.6+56.38+55.49+54.92+56.91+55.41+55.21+55.14+54.74+54.92+56.07+54.55)/21</f>
        <v>56.219999999999992</v>
      </c>
      <c r="G6" s="129">
        <v>21</v>
      </c>
      <c r="H6" s="131">
        <v>1.375E-2</v>
      </c>
      <c r="I6" s="131">
        <f>H6</f>
        <v>1.375E-2</v>
      </c>
      <c r="J6" s="132">
        <f>I6</f>
        <v>1.375E-2</v>
      </c>
      <c r="K6" s="133">
        <f>F6-E6</f>
        <v>1.4799999999999898</v>
      </c>
    </row>
    <row r="7" spans="1:11" s="2" customFormat="1" ht="30" customHeight="1">
      <c r="A7" s="134"/>
      <c r="B7" s="135">
        <v>2</v>
      </c>
      <c r="C7" s="129" t="s">
        <v>141</v>
      </c>
      <c r="D7" s="129">
        <v>12</v>
      </c>
      <c r="E7" s="129">
        <v>55.05</v>
      </c>
      <c r="F7" s="130">
        <f>(56.41+56.89+56.13+56.02+55.91+56.72+55.81+59.36+55.41+64.18+55.58+61.83+55.46+56.49+55.74+55.88+55.05)/17</f>
        <v>56.992352941176485</v>
      </c>
      <c r="G7" s="129">
        <v>40</v>
      </c>
      <c r="H7" s="131">
        <v>2.7349537037037037E-2</v>
      </c>
      <c r="I7" s="131">
        <f t="shared" ref="I7:I31" si="0">H7-H6</f>
        <v>1.3599537037037037E-2</v>
      </c>
      <c r="J7" s="132">
        <f>I7</f>
        <v>1.3599537037037037E-2</v>
      </c>
      <c r="K7" s="133">
        <f t="shared" ref="K7:K31" si="1">F7-E7</f>
        <v>1.9423529411764875</v>
      </c>
    </row>
    <row r="8" spans="1:11" s="2" customFormat="1" ht="30" customHeight="1">
      <c r="A8" s="134"/>
      <c r="B8" s="135">
        <v>3</v>
      </c>
      <c r="C8" s="129" t="s">
        <v>111</v>
      </c>
      <c r="D8" s="129">
        <v>2</v>
      </c>
      <c r="E8" s="129">
        <v>54.41</v>
      </c>
      <c r="F8" s="130">
        <f>(56.4+55.21+56.92+56.29+56.53+55.44+61.46+56.52+56.05+55.74+56.23+55.25+58.56+55.19+55.45+55.08+55.26+54.98+56.86+55.71+57.37+55.7+56.11+54.81+60.86+55.13+54.59+55.36+57.9+59.31+55.03+56.01+55.22+54.41+55.3+55.6+55.72+56.02+67.38+55.25+55.62+55.43+57.06+54.86)/44</f>
        <v>56.390454545454531</v>
      </c>
      <c r="G8" s="129">
        <v>85</v>
      </c>
      <c r="H8" s="131">
        <v>5.7442129629629628E-2</v>
      </c>
      <c r="I8" s="131">
        <f t="shared" si="0"/>
        <v>3.0092592592592591E-2</v>
      </c>
      <c r="J8" s="132">
        <f>I8</f>
        <v>3.0092592592592591E-2</v>
      </c>
      <c r="K8" s="133">
        <f t="shared" si="1"/>
        <v>1.9804545454545348</v>
      </c>
    </row>
    <row r="9" spans="1:11" s="2" customFormat="1" ht="30" customHeight="1">
      <c r="A9" s="134"/>
      <c r="B9" s="135">
        <v>4</v>
      </c>
      <c r="C9" s="129" t="s">
        <v>144</v>
      </c>
      <c r="D9" s="129">
        <v>15</v>
      </c>
      <c r="E9" s="129">
        <v>55.95</v>
      </c>
      <c r="F9" s="130">
        <f>(58.64+56.25+58.75+63.67+55.95+57.33+62.27+61.87+57.34+78.03+56.11+56.68+60.94+56.89+61.48+57.03)/16</f>
        <v>59.951874999999994</v>
      </c>
      <c r="G9" s="129">
        <v>103</v>
      </c>
      <c r="H9" s="131">
        <v>7.1111111111111111E-2</v>
      </c>
      <c r="I9" s="131">
        <f t="shared" si="0"/>
        <v>1.3668981481481483E-2</v>
      </c>
      <c r="J9" s="132">
        <f>I9</f>
        <v>1.3668981481481483E-2</v>
      </c>
      <c r="K9" s="133">
        <f t="shared" si="1"/>
        <v>4.0018749999999912</v>
      </c>
    </row>
    <row r="10" spans="1:11" s="2" customFormat="1" ht="30" customHeight="1">
      <c r="A10" s="134"/>
      <c r="B10" s="135">
        <v>5</v>
      </c>
      <c r="C10" s="129" t="s">
        <v>113</v>
      </c>
      <c r="D10" s="129">
        <v>12</v>
      </c>
      <c r="E10" s="129">
        <v>54.07</v>
      </c>
      <c r="F10" s="130">
        <f>(55.3+55.69+56.17+62.42+54.47+63.66+56.19+55.05+54.74+54.91+54.77+54.55+55.99+55.19+55.44+55.6+54.79+55.75+57.75+55.94+55.57+54.52+55.1+56.96+55.19+60.13+55.43+55.98+54.07+55.19+55.19+54.25+55.64+55.4+54.95+54.7+60.9+54.57+54.21+55.63+55.58+56.18+56.62+58.08)/44</f>
        <v>56.009318181818188</v>
      </c>
      <c r="G10" s="129">
        <v>148</v>
      </c>
      <c r="H10" s="131">
        <v>0.10098379629629629</v>
      </c>
      <c r="I10" s="131">
        <f t="shared" si="0"/>
        <v>2.9872685185185183E-2</v>
      </c>
      <c r="J10" s="132">
        <f>I10</f>
        <v>2.9872685185185183E-2</v>
      </c>
      <c r="K10" s="133">
        <f t="shared" si="1"/>
        <v>1.9393181818181873</v>
      </c>
    </row>
    <row r="11" spans="1:11" s="2" customFormat="1" ht="30" customHeight="1">
      <c r="A11" s="134"/>
      <c r="B11" s="135">
        <v>6</v>
      </c>
      <c r="C11" s="129" t="s">
        <v>107</v>
      </c>
      <c r="D11" s="129">
        <v>2</v>
      </c>
      <c r="E11" s="129">
        <v>54.16</v>
      </c>
      <c r="F11" s="130">
        <f>(57.1+55.65+55.54+55.18+57.39+56.54+55.32+55.24+55.85+58.79+55.16+54.99+56.05+54.75+54.93+59.63+54.91+54.87+60.11+55.28+55.18+54.95+54.66+54.82+54.32+54.16+54.27+57.51+54.83+65.03+56.47+57.27+56.39+59.92+56.37+56.05)/36</f>
        <v>56.263333333333328</v>
      </c>
      <c r="G11" s="129">
        <v>185</v>
      </c>
      <c r="H11" s="131">
        <v>0.12583333333333332</v>
      </c>
      <c r="I11" s="131">
        <f t="shared" si="0"/>
        <v>2.4849537037037031E-2</v>
      </c>
      <c r="J11" s="132">
        <f>I11</f>
        <v>2.4849537037037031E-2</v>
      </c>
      <c r="K11" s="133">
        <f t="shared" si="1"/>
        <v>2.1033333333333317</v>
      </c>
    </row>
    <row r="12" spans="1:11" s="2" customFormat="1" ht="30" customHeight="1">
      <c r="A12" s="134"/>
      <c r="B12" s="135">
        <v>7</v>
      </c>
      <c r="C12" s="129" t="s">
        <v>109</v>
      </c>
      <c r="D12" s="129">
        <v>14</v>
      </c>
      <c r="E12" s="129">
        <v>51.64</v>
      </c>
      <c r="F12" s="130">
        <f>(53.16+57.14+52.92+54.76+54.87+52.81+53.82+53.35+53.09+52.37+52.66+53.99+52.79+52.82+52.81+52.95+52.73+54.33+52.33+52.33+52.53+70.86+52.36+52.02+52.19+51.78+52.66+52.18+51.89+52.74+51.64+51.96+52.67+56.93+54.57+52.75)/36</f>
        <v>53.604444444444454</v>
      </c>
      <c r="G12" s="129">
        <v>222</v>
      </c>
      <c r="H12" s="131">
        <v>0.14950231481481482</v>
      </c>
      <c r="I12" s="131">
        <f t="shared" si="0"/>
        <v>2.3668981481481499E-2</v>
      </c>
      <c r="J12" s="132">
        <f>I12+J6</f>
        <v>3.7418981481481497E-2</v>
      </c>
      <c r="K12" s="133">
        <f t="shared" si="1"/>
        <v>1.9644444444444531</v>
      </c>
    </row>
    <row r="13" spans="1:11" s="2" customFormat="1" ht="30" customHeight="1">
      <c r="A13" s="134"/>
      <c r="B13" s="135">
        <v>8</v>
      </c>
      <c r="C13" s="129" t="s">
        <v>113</v>
      </c>
      <c r="D13" s="129">
        <v>5</v>
      </c>
      <c r="E13" s="129">
        <v>51.75</v>
      </c>
      <c r="F13" s="130">
        <f>(53.85+53.78+53.73+53.78+53.22+53.36+53.18+53.46+53.16+52.16+52.86+52.09+52.39+52.44+52.08+52.16+52.55+52.5+52.19+52.04+52.54+87.07+51.8+52.48+52.38+52.45+53.58+52.6+52.18+52+52.32+53.55+52.1+52.49+51.75+52.56+52.1)/37</f>
        <v>53.592702702702695</v>
      </c>
      <c r="G13" s="129">
        <v>260</v>
      </c>
      <c r="H13" s="131">
        <v>0.1738425925925926</v>
      </c>
      <c r="I13" s="131">
        <f t="shared" si="0"/>
        <v>2.434027777777778E-2</v>
      </c>
      <c r="J13" s="132">
        <f>I13+J10</f>
        <v>5.4212962962962963E-2</v>
      </c>
      <c r="K13" s="133">
        <f t="shared" si="1"/>
        <v>1.8427027027026952</v>
      </c>
    </row>
    <row r="14" spans="1:11" s="2" customFormat="1" ht="30" customHeight="1">
      <c r="A14" s="134"/>
      <c r="B14" s="135">
        <v>9</v>
      </c>
      <c r="C14" s="129" t="s">
        <v>141</v>
      </c>
      <c r="D14" s="129">
        <v>2</v>
      </c>
      <c r="E14" s="129">
        <v>51.3</v>
      </c>
      <c r="F14" s="130">
        <f>(54.11+53.94+53.61+56.11+53.52+53.11+53.06+54.01+52.87+52+52.28+51.9+52.14+52.63+51.96+51.3+52.08+51.66+51.87+51.79+52.76+51.52)/22</f>
        <v>52.737727272727263</v>
      </c>
      <c r="G14" s="129">
        <v>283</v>
      </c>
      <c r="H14" s="131">
        <v>0.18869212962962964</v>
      </c>
      <c r="I14" s="131">
        <f t="shared" si="0"/>
        <v>1.4849537037037036E-2</v>
      </c>
      <c r="J14" s="132">
        <f>I14+J7</f>
        <v>2.8449074074074071E-2</v>
      </c>
      <c r="K14" s="133">
        <f t="shared" si="1"/>
        <v>1.4377272727272654</v>
      </c>
    </row>
    <row r="15" spans="1:11" s="2" customFormat="1" ht="30" customHeight="1">
      <c r="A15" s="134"/>
      <c r="B15" s="135">
        <v>10</v>
      </c>
      <c r="C15" s="129" t="s">
        <v>111</v>
      </c>
      <c r="D15" s="129">
        <v>5</v>
      </c>
      <c r="E15" s="129">
        <v>51.39</v>
      </c>
      <c r="F15" s="130">
        <f>(53.59+52.51+53.78+54.56+53.25+54.42+52.39+55.18+52.65+55.2+52.56+52.51+52.52+69.8+51.89+52.48+52.07+51.57+53.13+52.79+66.68+51.66+53.55+53.93+53.31+51.39+52.03+52.81+54.21+52.73)/30</f>
        <v>54.038333333333334</v>
      </c>
      <c r="G15" s="129">
        <v>314</v>
      </c>
      <c r="H15" s="131">
        <v>0.20880787037037038</v>
      </c>
      <c r="I15" s="131">
        <f t="shared" si="0"/>
        <v>2.011574074074074E-2</v>
      </c>
      <c r="J15" s="132">
        <f>I15+J8</f>
        <v>5.0208333333333327E-2</v>
      </c>
      <c r="K15" s="133">
        <f t="shared" si="1"/>
        <v>2.6483333333333334</v>
      </c>
    </row>
    <row r="16" spans="1:11" s="2" customFormat="1" ht="30" customHeight="1">
      <c r="A16" s="134"/>
      <c r="B16" s="135">
        <v>11</v>
      </c>
      <c r="C16" s="129" t="s">
        <v>144</v>
      </c>
      <c r="D16" s="129">
        <v>2</v>
      </c>
      <c r="E16" s="129">
        <v>52.99</v>
      </c>
      <c r="F16" s="130">
        <f>(53.49+54.88+53.25+53.68+55.21+53.06+53.67+53.34+54+53.54+55.98+52.99+57.38+54.71+54.14+54.96+54.09+54.82+66.79+67.24+54.17+62.1+57.88)/23</f>
        <v>55.885652173913059</v>
      </c>
      <c r="G16" s="129">
        <v>338</v>
      </c>
      <c r="H16" s="131">
        <v>0.22518518518518518</v>
      </c>
      <c r="I16" s="131">
        <f t="shared" si="0"/>
        <v>1.6377314814814803E-2</v>
      </c>
      <c r="J16" s="132">
        <f>I16+J9</f>
        <v>3.0046296296296286E-2</v>
      </c>
      <c r="K16" s="133">
        <f t="shared" si="1"/>
        <v>2.8956521739130565</v>
      </c>
    </row>
    <row r="17" spans="1:12" s="2" customFormat="1" ht="30" customHeight="1">
      <c r="A17" s="134"/>
      <c r="B17" s="135">
        <v>12</v>
      </c>
      <c r="C17" s="129" t="s">
        <v>107</v>
      </c>
      <c r="D17" s="129">
        <v>15</v>
      </c>
      <c r="E17" s="129">
        <v>53.8</v>
      </c>
      <c r="F17" s="130">
        <f>(55.25+55.67+54.81+54.66+54.44+54.52+54.86+54.36+53.8+60.39+54.23+54.54+55.55+55.26+54.23+56.41+57.2+54.72+55.58+54.96+55.21+54.33)/22</f>
        <v>55.226363636363637</v>
      </c>
      <c r="G17" s="129">
        <v>362</v>
      </c>
      <c r="H17" s="131">
        <v>0.24204861111111109</v>
      </c>
      <c r="I17" s="131">
        <f t="shared" si="0"/>
        <v>1.6863425925925907E-2</v>
      </c>
      <c r="J17" s="132">
        <f>I17+J11</f>
        <v>4.1712962962962938E-2</v>
      </c>
      <c r="K17" s="133">
        <f t="shared" si="1"/>
        <v>1.4263636363636394</v>
      </c>
    </row>
    <row r="18" spans="1:12" s="2" customFormat="1" ht="30" customHeight="1">
      <c r="A18" s="134"/>
      <c r="B18" s="135">
        <v>13</v>
      </c>
      <c r="C18" s="129" t="s">
        <v>109</v>
      </c>
      <c r="D18" s="129">
        <v>21</v>
      </c>
      <c r="E18" s="129">
        <v>53.23</v>
      </c>
      <c r="F18" s="130">
        <f>(53.39+54.88+54.02+53.96+54.49+53.42+53.59+54.13+53.24+53.23+54.99+55.7+55.24+54.53+54.88+58.92+58.15+58.21+55.2+54.89+55.64+55.15+55.45+55.91+55.54+56.54+55.83+55.77+55.2+56.76+56.16+57.46)/32</f>
        <v>55.327187500000015</v>
      </c>
      <c r="G18" s="129">
        <v>395</v>
      </c>
      <c r="H18" s="131">
        <v>0.26392361111111112</v>
      </c>
      <c r="I18" s="131">
        <f t="shared" si="0"/>
        <v>2.1875000000000033E-2</v>
      </c>
      <c r="J18" s="132">
        <f>I18+J12</f>
        <v>5.9293981481481531E-2</v>
      </c>
      <c r="K18" s="133">
        <f t="shared" si="1"/>
        <v>2.0971875000000182</v>
      </c>
    </row>
    <row r="19" spans="1:12" s="2" customFormat="1" ht="30" customHeight="1">
      <c r="A19" s="134"/>
      <c r="B19" s="135">
        <v>14</v>
      </c>
      <c r="C19" s="129" t="s">
        <v>111</v>
      </c>
      <c r="D19" s="129">
        <v>6</v>
      </c>
      <c r="E19" s="129">
        <v>56.42</v>
      </c>
      <c r="F19" s="130">
        <f>(62.63+60.7+59.64+58.08+64.48+57.84+57.64+57.31+60.27+58.88+56.42+58.27+67.06+56.65+64.71)/15</f>
        <v>60.038666666666671</v>
      </c>
      <c r="G19" s="129">
        <v>412</v>
      </c>
      <c r="H19" s="131">
        <v>0.27856481481481482</v>
      </c>
      <c r="I19" s="131">
        <f t="shared" si="0"/>
        <v>1.4641203703703698E-2</v>
      </c>
      <c r="J19" s="132">
        <f>+J15</f>
        <v>5.0208333333333327E-2</v>
      </c>
      <c r="K19" s="133">
        <f t="shared" si="1"/>
        <v>3.6186666666666696</v>
      </c>
    </row>
    <row r="20" spans="1:12" s="2" customFormat="1" ht="30" customHeight="1">
      <c r="A20" s="134"/>
      <c r="B20" s="135">
        <v>15</v>
      </c>
      <c r="C20" s="129" t="s">
        <v>141</v>
      </c>
      <c r="D20" s="129">
        <v>88</v>
      </c>
      <c r="E20" s="129">
        <v>52.23</v>
      </c>
      <c r="F20" s="130">
        <f>(54.2+53.57+53.57+56.48+54.39+53.18+53.06+52.59+52.31+52.55+52.56+53.46+53.25+52.96+52.7+52.84+53.32+66.73+53.22+53.62+53.87+53.1+52.7+53.67+53.19+53.41+54.4+53.55+52.57+52.59+52.44+57.8+57.96+52.8+52.75+54.71+52.38+52.91+53.25+53.31+53.31+53.4+53+52.23+52.84+53.12+53.6+52.68+54.14)/49</f>
        <v>53.719183673469395</v>
      </c>
      <c r="G20" s="129">
        <v>462</v>
      </c>
      <c r="H20" s="131">
        <v>0.31059027777777776</v>
      </c>
      <c r="I20" s="131">
        <f t="shared" si="0"/>
        <v>3.2025462962962936E-2</v>
      </c>
      <c r="J20" s="132">
        <f>I20+J14</f>
        <v>6.0474537037037007E-2</v>
      </c>
      <c r="K20" s="133">
        <f t="shared" si="1"/>
        <v>1.4891836734693982</v>
      </c>
    </row>
    <row r="21" spans="1:12" s="2" customFormat="1" ht="30" customHeight="1" thickBot="1">
      <c r="A21" s="134"/>
      <c r="B21" s="135">
        <v>16</v>
      </c>
      <c r="C21" s="129" t="s">
        <v>113</v>
      </c>
      <c r="D21" s="129">
        <v>12</v>
      </c>
      <c r="E21" s="136">
        <v>52.61</v>
      </c>
      <c r="F21" s="130">
        <f>(54.87+54.94+54.01+53.65+62.14+54.47+54.58+54.02+53.89+53.68+53.41+53.14+53.06+53.43+52.77+52.61+52.74+53.71)/18</f>
        <v>54.173333333333325</v>
      </c>
      <c r="G21" s="129">
        <v>481</v>
      </c>
      <c r="H21" s="131">
        <v>0.32332175925925927</v>
      </c>
      <c r="I21" s="131">
        <f t="shared" si="0"/>
        <v>1.273148148148151E-2</v>
      </c>
      <c r="J21" s="132">
        <f>I21+J13</f>
        <v>6.6944444444444473E-2</v>
      </c>
      <c r="K21" s="133">
        <f t="shared" si="1"/>
        <v>1.5633333333333255</v>
      </c>
    </row>
    <row r="22" spans="1:12" s="2" customFormat="1" ht="30" customHeight="1" thickBot="1">
      <c r="A22" s="134"/>
      <c r="B22" s="135">
        <v>17</v>
      </c>
      <c r="C22" s="129" t="s">
        <v>144</v>
      </c>
      <c r="D22" s="58">
        <v>11</v>
      </c>
      <c r="E22" s="137">
        <v>51.9</v>
      </c>
      <c r="F22" s="147">
        <f>(53.65+53.61+63.88+53.11+54.17+52.84+51.91+54.29+53.25+53.06+52.79+54.02+59.51+54.72+55.37+53.34+57.6+52.85+53.55+53.46+53.98+58.9+54.6+59.31+53.79+54.82+54.29+53.01+56.29+53.49+51.9+55.9+52.61+52.49+53.2+53.49+53.04+54.42+54.6+54.23+52.93+52.79+76.14+52.65)/44</f>
        <v>54.860227272727258</v>
      </c>
      <c r="G22" s="129">
        <v>527</v>
      </c>
      <c r="H22" s="131">
        <v>0.35378472222222218</v>
      </c>
      <c r="I22" s="131">
        <f t="shared" si="0"/>
        <v>3.0462962962962914E-2</v>
      </c>
      <c r="J22" s="132">
        <f>I22+J16</f>
        <v>6.05092592592592E-2</v>
      </c>
      <c r="K22" s="133">
        <f t="shared" si="1"/>
        <v>2.9602272727272592</v>
      </c>
    </row>
    <row r="23" spans="1:12" s="2" customFormat="1" ht="30" customHeight="1" thickBot="1">
      <c r="A23" s="134"/>
      <c r="B23" s="135">
        <v>18</v>
      </c>
      <c r="C23" s="129" t="s">
        <v>107</v>
      </c>
      <c r="D23" s="58">
        <v>14</v>
      </c>
      <c r="E23" s="137">
        <v>51.65</v>
      </c>
      <c r="F23" s="147">
        <f>(56.23+54.66+53.71+52.43+54.11+54.15+53.8+53.41+53.94+53.56+53.38+52.93+53.52+52.94+53.92+52.77+53.39+52.68+53.44+54.03+53.75+53.2+52.87+53.39+53.51+54.53+53.37+53.41+53.68+54.63+53.49+53.59+52.78+52.56+54.52+53.42+54.3+53.39+52.47+52.43+53.56+52.08+51.65+58.22+52.92+56.25+54.34+52.49+53.11+52.17+52.47)/51</f>
        <v>53.559803921568616</v>
      </c>
      <c r="G23" s="129">
        <v>579</v>
      </c>
      <c r="H23" s="131">
        <v>0.38681712962962966</v>
      </c>
      <c r="I23" s="131">
        <f t="shared" si="0"/>
        <v>3.3032407407407482E-2</v>
      </c>
      <c r="J23" s="132">
        <f>I23+J17</f>
        <v>7.474537037037042E-2</v>
      </c>
      <c r="K23" s="133">
        <f t="shared" si="1"/>
        <v>1.9098039215686171</v>
      </c>
    </row>
    <row r="24" spans="1:12" s="2" customFormat="1" ht="30" customHeight="1">
      <c r="A24" s="134"/>
      <c r="B24" s="135">
        <v>19</v>
      </c>
      <c r="C24" s="129" t="s">
        <v>109</v>
      </c>
      <c r="D24" s="129">
        <v>1</v>
      </c>
      <c r="E24" s="145">
        <v>51.47</v>
      </c>
      <c r="F24" s="130">
        <f>(53.21+53.75+52.29+53.7+52.27+52.08+52.99+54.58+53.59+74.06+54.34+54.4+51.63+52.2+51.81+52.24+52.21+51.47+52.04+53.4)/20</f>
        <v>53.913000000000011</v>
      </c>
      <c r="G24" s="129">
        <v>602</v>
      </c>
      <c r="H24" s="131">
        <v>0.40409722222222227</v>
      </c>
      <c r="I24" s="131">
        <f t="shared" si="0"/>
        <v>1.7280092592592611E-2</v>
      </c>
      <c r="J24" s="132">
        <f>I24+J18</f>
        <v>7.6574074074074142E-2</v>
      </c>
      <c r="K24" s="133">
        <f t="shared" si="1"/>
        <v>2.4430000000000121</v>
      </c>
    </row>
    <row r="25" spans="1:12" s="2" customFormat="1" ht="30" customHeight="1">
      <c r="A25" s="134"/>
      <c r="B25" s="135">
        <v>20</v>
      </c>
      <c r="C25" s="129" t="s">
        <v>141</v>
      </c>
      <c r="D25" s="129">
        <v>13</v>
      </c>
      <c r="E25" s="129">
        <v>51.44</v>
      </c>
      <c r="F25" s="130">
        <f>(54.38+52.75+52.8+53.73+53.43+53.7+52.75+53.16+52.72+52.26+53.73+52.53+59.22+52.34+53.02+52.41+52.51+52.08+52.36+54.08+51.78+52.26+52.11+56.14+52.38+52.07+52.12+51.67+51.57+51.66+51.44+56.3+52.25+53.33+52.95+52.13+52.89)/37</f>
        <v>53.000270270270278</v>
      </c>
      <c r="G25" s="129">
        <v>640</v>
      </c>
      <c r="H25" s="131">
        <v>0.42815972222222221</v>
      </c>
      <c r="I25" s="131">
        <f t="shared" si="0"/>
        <v>2.4062499999999931E-2</v>
      </c>
      <c r="J25" s="132">
        <f>I25+J20</f>
        <v>8.4537037037036938E-2</v>
      </c>
      <c r="K25" s="133">
        <f t="shared" si="1"/>
        <v>1.56027027027028</v>
      </c>
    </row>
    <row r="26" spans="1:12" s="2" customFormat="1" ht="30" customHeight="1" thickBot="1">
      <c r="A26" s="134"/>
      <c r="B26" s="135">
        <v>21</v>
      </c>
      <c r="C26" s="194" t="s">
        <v>111</v>
      </c>
      <c r="D26" s="129">
        <v>5</v>
      </c>
      <c r="E26" s="129">
        <v>51.32</v>
      </c>
      <c r="F26" s="172">
        <f>(59.31+54.4+53.41+52.84+56.42+53.31+53.35+52.76+51.75+51.9+51.32+52.71+52.69+52.11+51.89+52.92+53.61+52.46+51.92+51.89+53.46+58.22+52.28+51.42)/24</f>
        <v>53.264583333333341</v>
      </c>
      <c r="G26" s="129">
        <v>665</v>
      </c>
      <c r="H26" s="131">
        <v>0.44434027777777779</v>
      </c>
      <c r="I26" s="131">
        <f t="shared" si="0"/>
        <v>1.6180555555555587E-2</v>
      </c>
      <c r="J26" s="209">
        <f>I26+J19</f>
        <v>6.6388888888888914E-2</v>
      </c>
      <c r="K26" s="133">
        <f t="shared" si="1"/>
        <v>1.9445833333333411</v>
      </c>
      <c r="L26" s="175">
        <f>AVERAGE(K26,K19,K15,K8)</f>
        <v>2.5480094696969697</v>
      </c>
    </row>
    <row r="27" spans="1:12" s="2" customFormat="1" ht="30" customHeight="1" thickBot="1">
      <c r="A27" s="134"/>
      <c r="B27" s="135">
        <v>22</v>
      </c>
      <c r="C27" s="129" t="s">
        <v>113</v>
      </c>
      <c r="D27" s="129">
        <v>14</v>
      </c>
      <c r="E27" s="58">
        <v>50.26</v>
      </c>
      <c r="F27" s="210">
        <f>(52.8+51.93+51.71+51.26+51.55+51.19+50.6+52.3+51.94+51.01+52.27+50.26+56.23+51.13+51.15+52.14+51.4+50.93+51.45+51.2+50.82+51.26+51.26+50.62+50.42+51.51+51.99+51.23+50.91+51.56+50.55+51.89+51.25+51.01+50.74+50.76+51.12+51.73+51.07+50.51+50.87+52.47+52.16)/43</f>
        <v>51.445581395348825</v>
      </c>
      <c r="G27" s="141">
        <v>709</v>
      </c>
      <c r="H27" s="131">
        <v>0.47130787037037036</v>
      </c>
      <c r="I27" s="131">
        <f t="shared" si="0"/>
        <v>2.6967592592592571E-2</v>
      </c>
      <c r="J27" s="150">
        <f>I27+J21</f>
        <v>9.3912037037037044E-2</v>
      </c>
      <c r="K27" s="133">
        <f t="shared" si="1"/>
        <v>1.1855813953488266</v>
      </c>
      <c r="L27" s="195">
        <f>AVERAGE(K27,K21,K13,K10)</f>
        <v>1.6327339033007586</v>
      </c>
    </row>
    <row r="28" spans="1:12" s="2" customFormat="1" ht="30" customHeight="1">
      <c r="A28" s="134"/>
      <c r="B28" s="135">
        <v>23</v>
      </c>
      <c r="C28" s="129" t="s">
        <v>144</v>
      </c>
      <c r="D28" s="129">
        <v>12</v>
      </c>
      <c r="E28" s="129">
        <v>52.95</v>
      </c>
      <c r="F28" s="196">
        <f>(52.95+53.53+53.61+54.51+54.07+56.44+57.79+55.27+55.86+55.45+54.89+56.56+54.41+54.28+55.43+53.79+54.65+55.2+54.47+53.89+55.92+52.03)/22</f>
        <v>54.772727272727273</v>
      </c>
      <c r="G28" s="129">
        <v>732</v>
      </c>
      <c r="H28" s="131">
        <v>0.48668981481481483</v>
      </c>
      <c r="I28" s="131">
        <f t="shared" si="0"/>
        <v>1.5381944444444462E-2</v>
      </c>
      <c r="J28" s="146">
        <f>I28+J22</f>
        <v>7.5891203703703669E-2</v>
      </c>
      <c r="K28" s="133">
        <f t="shared" si="1"/>
        <v>1.8227272727272705</v>
      </c>
      <c r="L28" s="175">
        <f>AVERAGE(K28,K22,K16,K9)</f>
        <v>2.9201204298418943</v>
      </c>
    </row>
    <row r="29" spans="1:12" s="2" customFormat="1" ht="30" customHeight="1" thickBot="1">
      <c r="A29" s="134"/>
      <c r="B29" s="135">
        <v>24</v>
      </c>
      <c r="C29" s="129" t="s">
        <v>107</v>
      </c>
      <c r="D29" s="129">
        <v>21</v>
      </c>
      <c r="E29" s="149">
        <v>51.69</v>
      </c>
      <c r="F29" s="130">
        <f>(55.52+78.92+54.68+54.56+53.4+53.65+61.67+52.77+52.66+53.22+53.08+53.14+54.56+55.5+53.49+53.22+53.27+53.9+52.33+52.3+52.94+53.74+52.7+53.52+52.74+51.79+51.69+52.7+53.11+53.18+52.28)/31</f>
        <v>54.394516129032262</v>
      </c>
      <c r="G29" s="7">
        <v>764</v>
      </c>
      <c r="H29" s="131">
        <v>0.50756944444444441</v>
      </c>
      <c r="I29" s="131">
        <f t="shared" si="0"/>
        <v>2.0879629629629581E-2</v>
      </c>
      <c r="J29" s="151">
        <f>I29+J23</f>
        <v>9.5625000000000002E-2</v>
      </c>
      <c r="K29" s="133">
        <f t="shared" si="1"/>
        <v>2.7045161290322639</v>
      </c>
      <c r="L29" s="175">
        <f>AVERAGE(K29,K23,K17,K11)</f>
        <v>2.036004255074463</v>
      </c>
    </row>
    <row r="30" spans="1:12" s="2" customFormat="1" ht="30" customHeight="1" thickBot="1">
      <c r="A30" s="134"/>
      <c r="B30" s="135">
        <v>25</v>
      </c>
      <c r="C30" s="129" t="s">
        <v>141</v>
      </c>
      <c r="D30" s="58">
        <v>7</v>
      </c>
      <c r="E30" s="137">
        <v>50.16</v>
      </c>
      <c r="F30" s="147">
        <f>(50.87+51.05+51.5+51.3+52.19+50.47+51.21+51.77+50.16+51.93+51.73+51.53+51.56+52.45+52.13+51.11+52.4)/17</f>
        <v>51.491764705882353</v>
      </c>
      <c r="G30" s="129">
        <v>783</v>
      </c>
      <c r="H30" s="131">
        <v>0.52246527777777774</v>
      </c>
      <c r="I30" s="131">
        <f>H30-H29</f>
        <v>1.489583333333333E-2</v>
      </c>
      <c r="J30" s="190">
        <f>I30+J25</f>
        <v>9.9432870370370269E-2</v>
      </c>
      <c r="K30" s="133">
        <f t="shared" si="1"/>
        <v>1.3317647058823567</v>
      </c>
      <c r="L30" s="175">
        <f>AVERAGE(K30,K25,K20,K14,K7)</f>
        <v>1.5522597727051575</v>
      </c>
    </row>
    <row r="31" spans="1:12" s="2" customFormat="1" ht="30" customHeight="1" thickBot="1">
      <c r="A31" s="152"/>
      <c r="B31" s="153" t="s">
        <v>162</v>
      </c>
      <c r="C31" s="129" t="s">
        <v>109</v>
      </c>
      <c r="D31" s="58">
        <v>14</v>
      </c>
      <c r="E31" s="211">
        <v>49.84</v>
      </c>
      <c r="F31" s="212">
        <f>(50.74+51.47+52.38+50.53+51.35+50.98+50.86+50.62+50.99+50.4+50.49+51.67+51.86+50.67+50.81+50.57+51.72+49.92+50.58+51.05+50.32+50.4+50.52+50.4+49.84+50.97+49.9+50.21+50.06+52.93+50.32+51.31)/32</f>
        <v>50.838750000000005</v>
      </c>
      <c r="G31" s="129">
        <v>816</v>
      </c>
      <c r="H31" s="131">
        <v>0.54200231481481487</v>
      </c>
      <c r="I31" s="131">
        <f t="shared" si="0"/>
        <v>1.953703703703713E-2</v>
      </c>
      <c r="J31" s="154">
        <f>I31+J24</f>
        <v>9.6111111111111272E-2</v>
      </c>
      <c r="K31" s="144">
        <f t="shared" si="1"/>
        <v>0.99875000000000114</v>
      </c>
      <c r="L31" s="175">
        <f>AVERAGE(K31,K24,K18,K12,K6)</f>
        <v>1.7966763888888948</v>
      </c>
    </row>
    <row r="32" spans="1:12">
      <c r="E32" s="197">
        <f>AVERAGE(E6:E31)</f>
        <v>52.631538461538462</v>
      </c>
      <c r="F32" s="197">
        <f>AVERAGE(F6:F31)</f>
        <v>54.681236655370256</v>
      </c>
    </row>
  </sheetData>
  <mergeCells count="12">
    <mergeCell ref="I4:J4"/>
    <mergeCell ref="A6:A31"/>
    <mergeCell ref="A1:J1"/>
    <mergeCell ref="A3:J3"/>
    <mergeCell ref="A4:A5"/>
    <mergeCell ref="B4:B5"/>
    <mergeCell ref="C4:C5"/>
    <mergeCell ref="D4:D5"/>
    <mergeCell ref="E4:E5"/>
    <mergeCell ref="F4:F5"/>
    <mergeCell ref="G4:G5"/>
    <mergeCell ref="H4:H5"/>
  </mergeCells>
  <pageMargins left="0.31496062992125984" right="0.31496062992125984" top="0.55118110236220474" bottom="0.11811023622047245" header="0.31496062992125984" footer="0.31496062992125984"/>
  <pageSetup paperSize="9" scale="93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12</vt:i4>
      </vt:variant>
    </vt:vector>
  </HeadingPairs>
  <TitlesOfParts>
    <vt:vector size="12" baseType="lpstr">
      <vt:lpstr>Регистрация</vt:lpstr>
      <vt:lpstr>Квала</vt:lpstr>
      <vt:lpstr>Общие результаты</vt:lpstr>
      <vt:lpstr>Асва</vt:lpstr>
      <vt:lpstr>Ну Погоди!</vt:lpstr>
      <vt:lpstr>Butchery</vt:lpstr>
      <vt:lpstr>Дружба</vt:lpstr>
      <vt:lpstr>Beermix</vt:lpstr>
      <vt:lpstr>Ихтиандр</vt:lpstr>
      <vt:lpstr>Симон</vt:lpstr>
      <vt:lpstr>Пионер</vt:lpstr>
      <vt:lpstr>Даниил Хармс</vt:lpstr>
    </vt:vector>
  </TitlesOfParts>
  <Company>DG Win&amp;Soft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2013-09-16T18:39:15Z</dcterms:created>
  <dcterms:modified xsi:type="dcterms:W3CDTF">2013-09-26T18:55:50Z</dcterms:modified>
</cp:coreProperties>
</file>