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7" activeTab="18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30.08" sheetId="17" r:id="rId10"/>
    <sheet name="06.09" sheetId="18" r:id="rId11"/>
    <sheet name="13.09" sheetId="20" r:id="rId12"/>
    <sheet name="20.09" sheetId="21" r:id="rId13"/>
    <sheet name="27.09" sheetId="22" r:id="rId14"/>
    <sheet name="04.10" sheetId="23" r:id="rId15"/>
    <sheet name="11.10" sheetId="24" r:id="rId16"/>
    <sheet name="18.10 " sheetId="25" r:id="rId17"/>
    <sheet name="25.10" sheetId="26" r:id="rId18"/>
    <sheet name="01.11" sheetId="27" r:id="rId19"/>
    <sheet name="Очки" sheetId="19" r:id="rId20"/>
    <sheet name="Лист2" sheetId="16" r:id="rId21"/>
  </sheets>
  <definedNames>
    <definedName name="_xlnm._FilterDatabase" localSheetId="18" hidden="1">'01.11'!$A$1:$J$31</definedName>
    <definedName name="_xlnm._FilterDatabase" localSheetId="6" hidden="1">'02.08'!$A$4:$I$4</definedName>
    <definedName name="_xlnm._FilterDatabase" localSheetId="14" hidden="1">'04.10'!$A$1:$J$31</definedName>
    <definedName name="_xlnm._FilterDatabase" localSheetId="10" hidden="1">'06.09'!$A$1:$J$37</definedName>
    <definedName name="_xlnm._FilterDatabase" localSheetId="7" hidden="1">'09.08'!$A$4:$I$4</definedName>
    <definedName name="_xlnm._FilterDatabase" localSheetId="15" hidden="1">'11.10'!$A$1:$J$31</definedName>
    <definedName name="_xlnm._FilterDatabase" localSheetId="11" hidden="1">'13.09'!$A$1:$J$31</definedName>
    <definedName name="_xlnm._FilterDatabase" localSheetId="8" hidden="1">'16.08'!$A$1:$I$37</definedName>
    <definedName name="_xlnm._FilterDatabase" localSheetId="16" hidden="1">'18.10 '!$A$1:$J$31</definedName>
    <definedName name="_xlnm._FilterDatabase" localSheetId="12" hidden="1">'20.09'!$A$1:$J$31</definedName>
    <definedName name="_xlnm._FilterDatabase" localSheetId="17" hidden="1">'25.10'!$A$1:$J$31</definedName>
    <definedName name="_xlnm._FilterDatabase" localSheetId="5" hidden="1">'26.07'!$A$4:$I$4</definedName>
    <definedName name="_xlnm._FilterDatabase" localSheetId="13" hidden="1">'27.09'!$A$1:$J$31</definedName>
    <definedName name="_xlnm._FilterDatabase" localSheetId="9" hidden="1">'30.08'!$A$1:$J$37</definedName>
  </definedNames>
  <calcPr calcId="145621"/>
</workbook>
</file>

<file path=xl/calcChain.xml><?xml version="1.0" encoding="utf-8"?>
<calcChain xmlns="http://schemas.openxmlformats.org/spreadsheetml/2006/main">
  <c r="H5" i="27" l="1"/>
  <c r="I5" i="27"/>
  <c r="J5" i="27"/>
  <c r="I10" i="27"/>
  <c r="I8" i="27"/>
  <c r="I6" i="27"/>
  <c r="I7" i="27"/>
  <c r="I9" i="27"/>
  <c r="I14" i="27"/>
  <c r="I11" i="27"/>
  <c r="I13" i="27"/>
  <c r="I12" i="27"/>
  <c r="J6" i="27"/>
  <c r="J8" i="27"/>
  <c r="J12" i="27"/>
  <c r="J10" i="27"/>
  <c r="J13" i="27"/>
  <c r="J11" i="27"/>
  <c r="J7" i="27"/>
  <c r="J14" i="27"/>
  <c r="J9" i="27"/>
  <c r="H12" i="27"/>
  <c r="H6" i="27"/>
  <c r="H8" i="27"/>
  <c r="H11" i="27"/>
  <c r="H9" i="27"/>
  <c r="H14" i="27"/>
  <c r="H7" i="27"/>
  <c r="H13" i="27"/>
  <c r="H10" i="27"/>
  <c r="J32" i="27"/>
  <c r="J31" i="27"/>
  <c r="J30" i="27"/>
  <c r="J29" i="27"/>
  <c r="J28" i="27"/>
  <c r="J27" i="27"/>
  <c r="J26" i="27"/>
  <c r="H14" i="26" l="1"/>
  <c r="H5" i="26"/>
  <c r="I5" i="26"/>
  <c r="J5" i="26"/>
  <c r="H8" i="26"/>
  <c r="I8" i="26"/>
  <c r="J8" i="26"/>
  <c r="H6" i="26"/>
  <c r="I6" i="26"/>
  <c r="J6" i="26"/>
  <c r="I11" i="26"/>
  <c r="I14" i="26"/>
  <c r="I17" i="26"/>
  <c r="I7" i="26"/>
  <c r="I10" i="26"/>
  <c r="I9" i="26"/>
  <c r="I16" i="26"/>
  <c r="I13" i="26"/>
  <c r="F24" i="19"/>
  <c r="C27" i="19"/>
  <c r="C26" i="19"/>
  <c r="C25" i="19"/>
  <c r="C24" i="19"/>
  <c r="C23" i="19"/>
  <c r="I23" i="26"/>
  <c r="I24" i="26"/>
  <c r="I21" i="26"/>
  <c r="I22" i="26"/>
  <c r="I18" i="26"/>
  <c r="I19" i="26"/>
  <c r="I15" i="26"/>
  <c r="I20" i="26"/>
  <c r="I25" i="26"/>
  <c r="I12" i="26"/>
  <c r="H13" i="26"/>
  <c r="H7" i="26"/>
  <c r="H10" i="26"/>
  <c r="H23" i="26"/>
  <c r="H20" i="26"/>
  <c r="H21" i="26"/>
  <c r="H19" i="26"/>
  <c r="H24" i="26"/>
  <c r="H25" i="26"/>
  <c r="H18" i="26"/>
  <c r="H22" i="26"/>
  <c r="H9" i="26"/>
  <c r="H15" i="26"/>
  <c r="C22" i="19" l="1"/>
  <c r="C21" i="19"/>
  <c r="C20" i="19"/>
  <c r="C19" i="19"/>
  <c r="J32" i="26"/>
  <c r="J31" i="26"/>
  <c r="J30" i="26"/>
  <c r="J29" i="26"/>
  <c r="J28" i="26"/>
  <c r="J27" i="26"/>
  <c r="J26" i="26"/>
  <c r="J17" i="26"/>
  <c r="J19" i="26"/>
  <c r="J7" i="26"/>
  <c r="J10" i="26"/>
  <c r="J15" i="26"/>
  <c r="J21" i="26"/>
  <c r="J20" i="26"/>
  <c r="J24" i="26"/>
  <c r="J9" i="26"/>
  <c r="J22" i="26"/>
  <c r="J14" i="26"/>
  <c r="J16" i="26"/>
  <c r="J12" i="26"/>
  <c r="J25" i="26"/>
  <c r="J23" i="26"/>
  <c r="J11" i="26"/>
  <c r="J13" i="26"/>
  <c r="J18" i="26"/>
  <c r="H5" i="25" l="1"/>
  <c r="I5" i="25"/>
  <c r="J5" i="25"/>
  <c r="I11" i="25"/>
  <c r="I9" i="25"/>
  <c r="I8" i="25"/>
  <c r="I17" i="25"/>
  <c r="I10" i="25"/>
  <c r="I13" i="25"/>
  <c r="I14" i="25"/>
  <c r="I6" i="25"/>
  <c r="J11" i="25"/>
  <c r="I7" i="25"/>
  <c r="I16" i="25"/>
  <c r="I12" i="25"/>
  <c r="H7" i="25"/>
  <c r="I25" i="25"/>
  <c r="H24" i="25"/>
  <c r="I24" i="25"/>
  <c r="I23" i="25"/>
  <c r="I19" i="25"/>
  <c r="I22" i="25"/>
  <c r="I18" i="25"/>
  <c r="I20" i="25"/>
  <c r="J20" i="25" s="1"/>
  <c r="I15" i="25"/>
  <c r="J15" i="25" s="1"/>
  <c r="I21" i="25"/>
  <c r="H10" i="25"/>
  <c r="H8" i="25"/>
  <c r="H6" i="25"/>
  <c r="J7" i="25"/>
  <c r="H16" i="25"/>
  <c r="J16" i="25" s="1"/>
  <c r="H20" i="25"/>
  <c r="H13" i="25"/>
  <c r="J13" i="25" s="1"/>
  <c r="J10" i="25"/>
  <c r="H17" i="25"/>
  <c r="H11" i="25"/>
  <c r="H12" i="25"/>
  <c r="H14" i="25"/>
  <c r="H15" i="25"/>
  <c r="H21" i="25"/>
  <c r="J21" i="25" s="1"/>
  <c r="H18" i="25"/>
  <c r="H23" i="25"/>
  <c r="J23" i="25" s="1"/>
  <c r="H19" i="25"/>
  <c r="H9" i="25"/>
  <c r="H22" i="25"/>
  <c r="H25" i="25"/>
  <c r="J32" i="25"/>
  <c r="J31" i="25"/>
  <c r="J30" i="25"/>
  <c r="J29" i="25"/>
  <c r="J28" i="25"/>
  <c r="J27" i="25"/>
  <c r="J26" i="25"/>
  <c r="J18" i="25"/>
  <c r="J19" i="25"/>
  <c r="J8" i="25"/>
  <c r="J12" i="25"/>
  <c r="J17" i="25" l="1"/>
  <c r="J14" i="25"/>
  <c r="J6" i="25"/>
  <c r="J9" i="25"/>
  <c r="J25" i="25"/>
  <c r="J24" i="25"/>
  <c r="J22" i="25"/>
  <c r="H5" i="24" l="1"/>
  <c r="I5" i="24"/>
  <c r="J5" i="24" s="1"/>
  <c r="H9" i="24"/>
  <c r="I9" i="24"/>
  <c r="J9" i="24"/>
  <c r="I8" i="24"/>
  <c r="I7" i="24"/>
  <c r="I6" i="24"/>
  <c r="I15" i="24"/>
  <c r="I11" i="24"/>
  <c r="I10" i="24"/>
  <c r="I12" i="24"/>
  <c r="J12" i="24" s="1"/>
  <c r="I13" i="24"/>
  <c r="H10" i="24"/>
  <c r="H14" i="24"/>
  <c r="H12" i="24"/>
  <c r="H15" i="24"/>
  <c r="H13" i="24"/>
  <c r="H11" i="24"/>
  <c r="H8" i="24"/>
  <c r="H6" i="24"/>
  <c r="H7" i="24"/>
  <c r="J32" i="24"/>
  <c r="J31" i="24"/>
  <c r="J30" i="24"/>
  <c r="J29" i="24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7" i="24"/>
  <c r="J14" i="24"/>
  <c r="J11" i="24" l="1"/>
  <c r="J10" i="24"/>
  <c r="J13" i="24"/>
  <c r="J8" i="24"/>
  <c r="J6" i="24"/>
  <c r="I8" i="23" l="1"/>
  <c r="I11" i="23"/>
  <c r="I7" i="23"/>
  <c r="I6" i="23"/>
  <c r="J6" i="23" s="1"/>
  <c r="I5" i="23"/>
  <c r="J11" i="23"/>
  <c r="I10" i="23"/>
  <c r="J10" i="23" s="1"/>
  <c r="I13" i="23"/>
  <c r="I9" i="23"/>
  <c r="I21" i="23"/>
  <c r="I17" i="23"/>
  <c r="J17" i="23" s="1"/>
  <c r="I18" i="23"/>
  <c r="I22" i="23"/>
  <c r="J22" i="23" s="1"/>
  <c r="I12" i="23"/>
  <c r="I20" i="23"/>
  <c r="I15" i="23"/>
  <c r="I29" i="23"/>
  <c r="I28" i="23"/>
  <c r="J28" i="23" s="1"/>
  <c r="I24" i="23"/>
  <c r="I26" i="23"/>
  <c r="I19" i="23"/>
  <c r="J19" i="23" s="1"/>
  <c r="I23" i="23"/>
  <c r="I25" i="23"/>
  <c r="J25" i="23" s="1"/>
  <c r="I14" i="23"/>
  <c r="H11" i="23"/>
  <c r="H10" i="23"/>
  <c r="H6" i="23"/>
  <c r="H7" i="23"/>
  <c r="H5" i="23"/>
  <c r="H19" i="23"/>
  <c r="H16" i="23"/>
  <c r="J16" i="23" s="1"/>
  <c r="H9" i="23"/>
  <c r="H14" i="23"/>
  <c r="J14" i="23" s="1"/>
  <c r="H24" i="23"/>
  <c r="H17" i="23"/>
  <c r="H25" i="23"/>
  <c r="H28" i="23"/>
  <c r="H8" i="23"/>
  <c r="H13" i="23"/>
  <c r="H26" i="23"/>
  <c r="H18" i="23"/>
  <c r="H23" i="23"/>
  <c r="H22" i="23"/>
  <c r="H12" i="23"/>
  <c r="H20" i="23"/>
  <c r="H15" i="23"/>
  <c r="H27" i="23"/>
  <c r="J27" i="23" s="1"/>
  <c r="J20" i="23"/>
  <c r="J32" i="23"/>
  <c r="J31" i="23"/>
  <c r="J21" i="23"/>
  <c r="J24" i="23"/>
  <c r="J26" i="23"/>
  <c r="J18" i="23"/>
  <c r="J30" i="23"/>
  <c r="J29" i="23"/>
  <c r="J8" i="23" l="1"/>
  <c r="J13" i="23"/>
  <c r="J5" i="23"/>
  <c r="J9" i="23"/>
  <c r="J7" i="23"/>
  <c r="J12" i="23"/>
  <c r="J15" i="23"/>
  <c r="J23" i="23"/>
  <c r="H6" i="22" l="1"/>
  <c r="I6" i="22"/>
  <c r="J6" i="22"/>
  <c r="I8" i="22"/>
  <c r="I7" i="22"/>
  <c r="I9" i="22"/>
  <c r="I5" i="22"/>
  <c r="I12" i="22"/>
  <c r="I11" i="22"/>
  <c r="I16" i="22"/>
  <c r="I10" i="22"/>
  <c r="I14" i="22"/>
  <c r="J14" i="22" s="1"/>
  <c r="I19" i="22"/>
  <c r="I15" i="22"/>
  <c r="I26" i="22"/>
  <c r="I25" i="22"/>
  <c r="I20" i="22"/>
  <c r="I24" i="22"/>
  <c r="I23" i="22"/>
  <c r="I17" i="22"/>
  <c r="I22" i="22"/>
  <c r="I18" i="22"/>
  <c r="I13" i="22"/>
  <c r="I21" i="22"/>
  <c r="H7" i="22"/>
  <c r="J7" i="22" s="1"/>
  <c r="H8" i="22"/>
  <c r="H10" i="22"/>
  <c r="J10" i="22" s="1"/>
  <c r="H5" i="22"/>
  <c r="J5" i="22" s="1"/>
  <c r="H19" i="22"/>
  <c r="H16" i="22"/>
  <c r="J16" i="22" s="1"/>
  <c r="H14" i="22"/>
  <c r="H12" i="22"/>
  <c r="J12" i="22" s="1"/>
  <c r="H9" i="22"/>
  <c r="H11" i="22"/>
  <c r="H21" i="22"/>
  <c r="H25" i="22"/>
  <c r="H22" i="22"/>
  <c r="H18" i="22"/>
  <c r="H23" i="22"/>
  <c r="H26" i="22"/>
  <c r="H13" i="22"/>
  <c r="H24" i="22"/>
  <c r="J24" i="22" s="1"/>
  <c r="H20" i="22"/>
  <c r="H17" i="22"/>
  <c r="H15" i="22"/>
  <c r="J32" i="22"/>
  <c r="J31" i="22"/>
  <c r="J30" i="22"/>
  <c r="J29" i="22"/>
  <c r="J28" i="22"/>
  <c r="J27" i="22"/>
  <c r="J21" i="22"/>
  <c r="J25" i="22"/>
  <c r="J9" i="22" l="1"/>
  <c r="J13" i="22"/>
  <c r="J22" i="22"/>
  <c r="J20" i="22"/>
  <c r="J26" i="22"/>
  <c r="J19" i="22"/>
  <c r="J11" i="22"/>
  <c r="J23" i="22"/>
  <c r="J18" i="22"/>
  <c r="J17" i="22"/>
  <c r="J8" i="22"/>
  <c r="J15" i="22"/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K19" i="19"/>
  <c r="J19" i="19"/>
  <c r="J20" i="19" s="1"/>
  <c r="I19" i="19"/>
  <c r="I20" i="19" s="1"/>
  <c r="I21" i="19" s="1"/>
  <c r="H19" i="19"/>
  <c r="H20" i="19" s="1"/>
  <c r="H21" i="19" s="1"/>
  <c r="H22" i="19" s="1"/>
  <c r="G19" i="19"/>
  <c r="G20" i="19" s="1"/>
  <c r="G21" i="19" s="1"/>
  <c r="G22" i="19" s="1"/>
  <c r="G23" i="19" s="1"/>
  <c r="F19" i="19"/>
  <c r="F20" i="19" s="1"/>
  <c r="F21" i="19" s="1"/>
  <c r="F22" i="19" s="1"/>
  <c r="F23" i="19" s="1"/>
  <c r="E19" i="19"/>
  <c r="E20" i="19" s="1"/>
  <c r="E21" i="19" s="1"/>
  <c r="E22" i="19" s="1"/>
  <c r="E23" i="19" s="1"/>
  <c r="E24" i="19" s="1"/>
  <c r="E25" i="19" s="1"/>
  <c r="D19" i="19"/>
  <c r="D20" i="19" s="1"/>
  <c r="D21" i="19" s="1"/>
  <c r="D22" i="19" s="1"/>
  <c r="D23" i="19" s="1"/>
  <c r="D24" i="19" s="1"/>
  <c r="D25" i="19" s="1"/>
  <c r="D26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<sst xmlns="http://schemas.openxmlformats.org/spreadsheetml/2006/main" count="918" uniqueCount="300">
  <si>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</si>
  <si>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</si>
  <si>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</si>
  <si>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</si>
  <si>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</si>
  <si>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</si>
  <si>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</si>
  <si>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</si>
  <si>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</si>
  <si>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</si>
  <si>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</si>
  <si>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</si>
  <si>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</si>
  <si>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</si>
  <si>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</si>
  <si>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</si>
  <si>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</si>
  <si>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</si>
  <si>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</si>
  <si>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</si>
  <si>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</si>
  <si>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</si>
  <si>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</si>
  <si>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</si>
  <si>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</si>
  <si>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</si>
  <si>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</si>
  <si>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</si>
  <si>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</si>
  <si>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</si>
  <si>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</si>
  <si>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</si>
  <si>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</si>
  <si>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</si>
  <si>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</si>
  <si>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</si>
  <si>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</si>
  <si>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</si>
  <si>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</si>
  <si>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</si>
  <si>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</si>
  <si>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</si>
  <si>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</si>
  <si>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</si>
  <si>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</si>
  <si>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</si>
  <si>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</si>
  <si>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</si>
  <si>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</si>
  <si>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</si>
  <si>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</si>
  <si>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</si>
  <si>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</si>
  <si>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</si>
  <si>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</si>
  <si>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</si>
  <si>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</si>
  <si>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</si>
  <si>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</si>
  <si>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</si>
  <si>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</si>
  <si>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</si>
  <si>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</si>
  <si>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</si>
  <si>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</si>
  <si>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</si>
  <si>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</si>
  <si>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</si>
  <si>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</si>
  <si>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</si>
  <si>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</si>
  <si>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</si>
  <si>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</si>
  <si>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</si>
  <si>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</si>
  <si>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</si>
  <si>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</si>
  <si>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</si>
  <si>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</si>
  <si>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</si>
  <si>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</si>
  <si>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</si>
  <si>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</si>
  <si>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</si>
  <si>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</si>
  <si>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</si>
  <si>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</si>
  <si>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</si>
  <si>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</si>
  <si>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</si>
  <si>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</si>
  <si>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</si>
  <si>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</si>
  <si>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</si>
  <si>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</si>
  <si>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</si>
  <si>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</si>
  <si>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</si>
  <si>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</si>
  <si>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</si>
  <si>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</si>
  <si>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</si>
  <si>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</si>
  <si>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</si>
  <si>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</si>
  <si>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</si>
  <si>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</si>
  <si>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</si>
  <si>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</si>
  <si>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</si>
  <si>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</si>
  <si>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</si>
  <si>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</si>
  <si>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</si>
  <si>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</si>
  <si>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</si>
  <si>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</si>
  <si>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</si>
  <si>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</si>
  <si>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</si>
  <si>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</si>
  <si>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</si>
  <si>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</si>
  <si>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</si>
  <si>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</si>
  <si>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</si>
  <si>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</si>
  <si>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</si>
  <si>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</si>
  <si>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</si>
  <si>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</si>
  <si>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</si>
  <si>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</si>
  <si>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</si>
  <si>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</si>
  <si>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</si>
  <si>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</si>
  <si>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</si>
  <si>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</si>
  <si>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</si>
  <si>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</si>
  <si>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</si>
  <si>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</si>
  <si>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</si>
  <si>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</si>
  <si>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</si>
  <si>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</si>
  <si>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</si>
  <si>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</si>
  <si>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</si>
  <si>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</si>
  <si>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</si>
  <si>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</si>
  <si>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</si>
  <si>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</si>
  <si>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</si>
  <si>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</si>
  <si>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</si>
  <si>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</si>
  <si>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</si>
  <si>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</si>
  <si>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</si>
  <si>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</si>
  <si>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</si>
  <si>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</si>
  <si>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</si>
  <si>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</si>
  <si>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</si>
  <si>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</si>
  <si>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</si>
  <si>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</si>
  <si>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</si>
  <si>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</si>
  <si>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</si>
  <si>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</si>
  <si>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</si>
  <si>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</si>
  <si>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</si>
  <si>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</si>
  <si>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</si>
  <si>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</si>
  <si>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</si>
  <si>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</si>
  <si>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</si>
  <si>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</si>
  <si>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</si>
  <si>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</si>
  <si>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</si>
  <si>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</si>
  <si>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</si>
  <si>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</si>
  <si>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</si>
  <si>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</si>
  <si>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</si>
  <si>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</si>
  <si>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</si>
  <si>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</si>
  <si>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</si>
  <si>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</si>
  <si>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</si>
  <si>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</si>
  <si>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</si>
  <si>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</si>
  <si>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</si>
  <si>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</si>
  <si>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</si>
  <si>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</si>
  <si>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</si>
  <si>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</si>
  <si>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</si>
  <si>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</si>
  <si>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</si>
  <si>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</si>
  <si>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</si>
  <si>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</si>
  <si>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</si>
  <si>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</si>
  <si>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</si>
  <si>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</si>
  <si>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</si>
  <si>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</si>
  <si>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</si>
  <si>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</si>
  <si>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</si>
  <si>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</si>
  <si>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</si>
  <si>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</si>
  <si>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</si>
  <si>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</si>
  <si>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</si>
  <si>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</si>
  <si>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</si>
  <si>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</si>
  <si>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</si>
  <si>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</si>
  <si>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</si>
  <si>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</si>
  <si>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</si>
  <si>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</si>
  <si>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</si>
  <si>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</si>
  <si>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</si>
  <si>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</si>
  <si>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</si>
  <si>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</si>
  <si>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</si>
  <si>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</si>
  <si>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</si>
  <si>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</si>
  <si>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</si>
  <si>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</si>
  <si>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</si>
  <si>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</si>
  <si>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</si>
  <si>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</si>
  <si>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</si>
  <si>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</si>
  <si>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</si>
  <si>
    <t>Лайт Лига 27.09.2016 (конфигурация 11)</t>
  </si>
  <si>
    <t>Деда Гена</t>
  </si>
  <si>
    <t>Гычко Игорь</t>
  </si>
  <si>
    <t>Мырза Серга</t>
  </si>
  <si>
    <t>Ваня</t>
  </si>
  <si>
    <t xml:space="preserve"> </t>
  </si>
  <si>
    <t>Яценко Владимир</t>
  </si>
  <si>
    <t>Холодов Вячеслав</t>
  </si>
  <si>
    <t>Гребенюк Олег</t>
  </si>
  <si>
    <t>Яременко Юра</t>
  </si>
  <si>
    <t>Плохов Игорь</t>
  </si>
  <si>
    <t>Коняшкин Денис</t>
  </si>
  <si>
    <t>Виталик</t>
  </si>
  <si>
    <t xml:space="preserve">  </t>
  </si>
  <si>
    <t>Шкарапута Никита</t>
  </si>
  <si>
    <t>Лайт Лига 11.10.2016 (конфигурация 7R)</t>
  </si>
  <si>
    <t>Полупан Вова</t>
  </si>
  <si>
    <t>Дымко Вячеслав</t>
  </si>
  <si>
    <t>Лайт Лига 18.10.2016 (конфигурация 3R)</t>
  </si>
  <si>
    <t>Сибирцев Иван</t>
  </si>
  <si>
    <t>Нагирняк Дима</t>
  </si>
  <si>
    <t>Валько Виталик</t>
  </si>
  <si>
    <t>Соболев Саша</t>
  </si>
  <si>
    <t>Метрик Рома</t>
  </si>
  <si>
    <t>Лайт Лига 25.10.2016 (конфигурация 10R)</t>
  </si>
  <si>
    <t>22-21 человек</t>
  </si>
  <si>
    <t>19-20 человек</t>
  </si>
  <si>
    <t>17-18 человек</t>
  </si>
  <si>
    <t>15-16 человек</t>
  </si>
  <si>
    <t>13-14 человек</t>
  </si>
  <si>
    <t>12-… человек</t>
  </si>
  <si>
    <t>с 11</t>
  </si>
  <si>
    <t>с 12</t>
  </si>
  <si>
    <t>Резанко Оля</t>
  </si>
  <si>
    <t>Дехтярук Саша</t>
  </si>
  <si>
    <t>Демчунь Мирослав</t>
  </si>
  <si>
    <t>Мирошник Александр</t>
  </si>
  <si>
    <t>Миронова Анастасия</t>
  </si>
  <si>
    <t>Дулин Антон</t>
  </si>
  <si>
    <t>Петренко Влад</t>
  </si>
  <si>
    <t>Женя</t>
  </si>
  <si>
    <t>Лайт Лига 01.11.2016 (конфигурация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</si>
</sst>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41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11" fillId="0" borderId="24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1" fillId="0" borderId="5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1" fillId="2" borderId="24" xfId="0" applyFont="1" applyFill="1" applyBorder="1" applyAlignment="1">
      <alignment horizontal="left"/>
    </xf>
    <xf numFmtId="0" fontId="11" fillId="2" borderId="56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4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2" borderId="2" xfId="0" applyFont="1" applyFill="1" applyBorder="1"/>
    <xf numFmtId="0" fontId="13" fillId="2" borderId="3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left"/>
    </xf>
    <xf numFmtId="0" fontId="11" fillId="2" borderId="55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54" xfId="0" applyFont="1" applyFill="1" applyBorder="1" applyAlignment="1">
      <alignment horizontal="center"/>
    </xf>
    <xf numFmtId="0" fontId="13" fillId="0" borderId="51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1" fillId="0" borderId="53" xfId="0" applyFont="1" applyFill="1" applyBorder="1" applyAlignment="1">
      <alignment horizontal="center"/>
    </xf>
    <xf numFmtId="0" fontId="12" fillId="0" borderId="24" xfId="0" applyFont="1" applyFill="1" applyBorder="1"/>
    <xf numFmtId="0" fontId="13" fillId="0" borderId="5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2" fillId="0" borderId="54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0" fontId="13" fillId="0" borderId="40" xfId="0" applyFont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2" fillId="0" borderId="2" xfId="0" applyFont="1" applyFill="1" applyBorder="1"/>
    <xf numFmtId="0" fontId="11" fillId="0" borderId="15" xfId="0" applyFont="1" applyFill="1" applyBorder="1" applyAlignment="1">
      <alignment horizontal="center"/>
    </xf>
    <xf numFmtId="0" fontId="11" fillId="0" borderId="54" xfId="0" applyFont="1" applyFill="1" applyBorder="1" applyAlignment="1">
      <alignment horizontal="center"/>
    </xf>
    <xf numFmtId="0" fontId="11" fillId="0" borderId="5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7" fillId="0" borderId="0" xfId="1" applyBorder="1" applyAlignment="1">
      <alignment horizontal="center"/>
    </xf>
    <xf numFmtId="0" fontId="17" fillId="0" borderId="11" xfId="1" applyBorder="1" applyAlignment="1">
      <alignment horizontal="center"/>
    </xf>
    <xf numFmtId="0" fontId="18" fillId="0" borderId="12" xfId="1" applyFont="1" applyBorder="1" applyAlignment="1">
      <alignment horizontal="center"/>
    </xf>
    <xf numFmtId="0" fontId="17" fillId="0" borderId="21" xfId="1" applyBorder="1"/>
    <xf numFmtId="0" fontId="17" fillId="0" borderId="15" xfId="1" applyBorder="1" applyAlignment="1">
      <alignment horizontal="center"/>
    </xf>
    <xf numFmtId="0" fontId="17" fillId="0" borderId="20" xfId="1" applyBorder="1" applyAlignment="1">
      <alignment horizontal="center"/>
    </xf>
    <xf numFmtId="0" fontId="17" fillId="0" borderId="26" xfId="1" applyBorder="1"/>
    <xf numFmtId="0" fontId="17" fillId="0" borderId="14" xfId="1" applyBorder="1" applyAlignment="1">
      <alignment horizontal="center"/>
    </xf>
    <xf numFmtId="0" fontId="17" fillId="0" borderId="18" xfId="1" applyBorder="1" applyAlignment="1">
      <alignment horizontal="center"/>
    </xf>
    <xf numFmtId="0" fontId="17" fillId="0" borderId="23" xfId="1" applyBorder="1" applyAlignment="1">
      <alignment horizontal="center"/>
    </xf>
    <xf numFmtId="0" fontId="17" fillId="0" borderId="25" xfId="1" applyBorder="1" applyAlignment="1">
      <alignment horizontal="center"/>
    </xf>
    <xf numFmtId="0" fontId="17" fillId="0" borderId="59" xfId="1" applyBorder="1" applyAlignment="1">
      <alignment horizontal="center"/>
    </xf>
    <xf numFmtId="0" fontId="17" fillId="0" borderId="60" xfId="1" applyBorder="1" applyAlignment="1">
      <alignment horizontal="center"/>
    </xf>
    <xf numFmtId="0" fontId="17" fillId="0" borderId="61" xfId="1" applyBorder="1" applyAlignment="1">
      <alignment horizontal="center"/>
    </xf>
    <xf numFmtId="0" fontId="17" fillId="0" borderId="9" xfId="1" applyBorder="1" applyAlignment="1">
      <alignment horizontal="center"/>
    </xf>
    <xf numFmtId="0" fontId="17" fillId="0" borderId="0" xfId="1" applyBorder="1"/>
    <xf numFmtId="0" fontId="17" fillId="0" borderId="12" xfId="1" applyFill="1" applyBorder="1" applyAlignment="1">
      <alignment horizontal="center"/>
    </xf>
    <xf numFmtId="0" fontId="17" fillId="0" borderId="50" xfId="1" applyFill="1" applyBorder="1" applyAlignment="1">
      <alignment horizontal="center"/>
    </xf>
    <xf numFmtId="0" fontId="17" fillId="0" borderId="16" xfId="1" applyFill="1" applyBorder="1" applyAlignment="1">
      <alignment horizontal="center"/>
    </xf>
    <xf numFmtId="0" fontId="17" fillId="0" borderId="12" xfId="1" applyBorder="1" applyAlignment="1">
      <alignment horizontal="center"/>
    </xf>
    <xf numFmtId="0" fontId="17" fillId="0" borderId="62" xfId="1" applyFill="1" applyBorder="1" applyAlignment="1">
      <alignment horizontal="center"/>
    </xf>
    <xf numFmtId="0" fontId="17" fillId="0" borderId="52" xfId="1" applyFill="1" applyBorder="1" applyAlignment="1">
      <alignment horizontal="center"/>
    </xf>
    <xf numFmtId="0" fontId="17" fillId="0" borderId="33" xfId="1" applyBorder="1"/>
    <xf numFmtId="0" fontId="17" fillId="0" borderId="42" xfId="1" applyBorder="1"/>
    <xf numFmtId="0" fontId="17" fillId="0" borderId="22" xfId="1" applyBorder="1" applyAlignment="1">
      <alignment horizontal="center"/>
    </xf>
    <xf numFmtId="0" fontId="17" fillId="0" borderId="27" xfId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left"/>
    </xf>
    <xf numFmtId="0" fontId="11" fillId="2" borderId="24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3" fillId="2" borderId="41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2" fillId="2" borderId="19" xfId="0" applyFont="1" applyFill="1" applyBorder="1"/>
    <xf numFmtId="0" fontId="12" fillId="2" borderId="55" xfId="0" applyFont="1" applyFill="1" applyBorder="1" applyAlignment="1">
      <alignment horizontal="center"/>
    </xf>
    <xf numFmtId="0" fontId="11" fillId="2" borderId="5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43" xfId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32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1" fillId="0" borderId="29" xfId="0" applyFont="1" applyFill="1" applyBorder="1" applyAlignment="1">
      <alignment horizontal="left"/>
    </xf>
    <xf numFmtId="0" fontId="11" fillId="0" borderId="63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12" fillId="0" borderId="30" xfId="0" applyFont="1" applyFill="1" applyBorder="1" applyAlignment="1">
      <alignment horizontal="center"/>
    </xf>
    <xf numFmtId="0" fontId="12" fillId="0" borderId="53" xfId="0" applyFont="1" applyFill="1" applyBorder="1" applyAlignment="1">
      <alignment horizontal="center"/>
    </xf>
    <xf numFmtId="0" fontId="12" fillId="0" borderId="45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8" fillId="0" borderId="14" xfId="0" applyFont="1" applyFill="1" applyBorder="1" applyAlignment="1">
      <alignment horizontal="left"/>
    </xf>
    <xf numFmtId="0" fontId="8" fillId="0" borderId="18" xfId="0" applyFont="1" applyFill="1" applyBorder="1" applyAlignment="1">
      <alignment horizontal="left"/>
    </xf>
    <xf numFmtId="0" fontId="12" fillId="0" borderId="18" xfId="0" applyFont="1" applyFill="1" applyBorder="1"/>
    <xf numFmtId="0" fontId="8" fillId="0" borderId="23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15" fillId="0" borderId="40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72" t="s">
        <v>34</v>
      </c>
      <c r="B1" s="372"/>
      <c r="C1" s="372"/>
      <c r="D1" s="372"/>
      <c r="E1" s="372"/>
      <c r="F1" s="372"/>
      <c r="G1" s="372"/>
      <c r="H1" s="372"/>
      <c r="I1" s="372"/>
    </row>
    <row r="2" spans="1:9" ht="15.75" thickBot="1" x14ac:dyDescent="0.3">
      <c r="A2" s="373"/>
      <c r="B2" s="373"/>
      <c r="C2" s="373"/>
      <c r="D2" s="373"/>
      <c r="E2" s="373"/>
      <c r="F2" s="373"/>
      <c r="G2" s="373"/>
      <c r="H2" s="373"/>
      <c r="I2" s="373"/>
    </row>
    <row r="3" spans="1:9" ht="16.5" thickBot="1" x14ac:dyDescent="0.3">
      <c r="A3" s="374"/>
      <c r="B3" s="376" t="s">
        <v>0</v>
      </c>
      <c r="C3" s="1" t="s">
        <v>1</v>
      </c>
      <c r="D3" s="378"/>
      <c r="E3" s="37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81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82" t="s">
        <v>35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78"/>
      <c r="E3" s="378"/>
      <c r="F3" s="379" t="s">
        <v>2</v>
      </c>
      <c r="G3" s="379"/>
      <c r="H3" s="379"/>
      <c r="I3" s="380" t="s">
        <v>3</v>
      </c>
    </row>
    <row r="4" spans="1:9" ht="15.75" x14ac:dyDescent="0.25">
      <c r="A4" s="375"/>
      <c r="B4" s="377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81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82" t="s">
        <v>89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81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82" t="s">
        <v>90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81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82" t="s">
        <v>108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81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82" t="s">
        <v>125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81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82" t="s">
        <v>142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81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82" t="s">
        <v>142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81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82" t="s">
        <v>177</v>
      </c>
      <c r="B1" s="383"/>
      <c r="C1" s="383"/>
      <c r="D1" s="383"/>
      <c r="E1" s="383"/>
      <c r="F1" s="383"/>
      <c r="G1" s="383"/>
      <c r="H1" s="383"/>
      <c r="I1" s="384"/>
    </row>
    <row r="2" spans="1:9" ht="15.75" thickBot="1" x14ac:dyDescent="0.3">
      <c r="A2" s="385"/>
      <c r="B2" s="373"/>
      <c r="C2" s="373"/>
      <c r="D2" s="373"/>
      <c r="E2" s="373"/>
      <c r="F2" s="373"/>
      <c r="G2" s="373"/>
      <c r="H2" s="373"/>
      <c r="I2" s="386"/>
    </row>
    <row r="3" spans="1:9" ht="16.5" thickBot="1" x14ac:dyDescent="0.3">
      <c r="A3" s="374"/>
      <c r="B3" s="376" t="s">
        <v>0</v>
      </c>
      <c r="C3" s="1" t="s">
        <v>1</v>
      </c>
      <c r="D3" s="387" t="s">
        <v>63</v>
      </c>
      <c r="E3" s="388"/>
      <c r="F3" s="379" t="s">
        <v>2</v>
      </c>
      <c r="G3" s="379"/>
      <c r="H3" s="379"/>
      <c r="I3" s="380" t="s">
        <v>3</v>
      </c>
    </row>
    <row r="4" spans="1:9" ht="16.5" thickBot="1" x14ac:dyDescent="0.3">
      <c r="A4" s="375"/>
      <c r="B4" s="377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81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82" t="s">
        <v>187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211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204" t="s">
        <v>191</v>
      </c>
      <c r="C5" s="208">
        <v>5</v>
      </c>
      <c r="D5" s="258"/>
      <c r="E5" s="213">
        <v>4</v>
      </c>
      <c r="F5" s="206">
        <v>1</v>
      </c>
      <c r="G5" s="258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54" t="s">
        <v>196</v>
      </c>
      <c r="C6" s="255" t="s">
        <v>5</v>
      </c>
      <c r="D6" s="211"/>
      <c r="E6" s="256">
        <v>1</v>
      </c>
      <c r="F6" s="257">
        <v>4</v>
      </c>
      <c r="G6" s="211"/>
      <c r="H6" s="207">
        <f>17+1.4+2</f>
        <v>20.399999999999999</v>
      </c>
      <c r="I6" s="257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59" t="s">
        <v>23</v>
      </c>
      <c r="C7" s="260" t="s">
        <v>5</v>
      </c>
      <c r="D7" s="209"/>
      <c r="E7" s="261">
        <v>3</v>
      </c>
      <c r="F7" s="262">
        <v>5</v>
      </c>
      <c r="G7" s="209">
        <v>1</v>
      </c>
      <c r="H7" s="263">
        <f>15+3.8+1.5</f>
        <v>20.3</v>
      </c>
      <c r="I7" s="262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49"/>
      <c r="E10" s="250">
        <v>7</v>
      </c>
      <c r="F10" s="251">
        <v>6</v>
      </c>
      <c r="G10" s="249">
        <v>0.5</v>
      </c>
      <c r="H10" s="252">
        <f>12</f>
        <v>12</v>
      </c>
      <c r="I10" s="251">
        <f>12.5+1</f>
        <v>13.5</v>
      </c>
      <c r="J10" s="253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48"/>
      <c r="E19" s="250">
        <v>6</v>
      </c>
      <c r="F19" s="251">
        <v>3</v>
      </c>
      <c r="G19" s="248">
        <v>2</v>
      </c>
      <c r="H19" s="252">
        <f>12.5+3.5-8</f>
        <v>8</v>
      </c>
      <c r="I19" s="251">
        <f>15+1.7-5-6</f>
        <v>5.6999999999999993</v>
      </c>
      <c r="J19" s="253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240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241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242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243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274" t="s">
        <v>248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75" t="s">
        <v>251</v>
      </c>
      <c r="C6" s="276"/>
      <c r="D6" s="277"/>
      <c r="E6" s="278">
        <v>5</v>
      </c>
      <c r="F6" s="279">
        <v>6</v>
      </c>
      <c r="G6" s="277">
        <v>2</v>
      </c>
      <c r="H6" s="280">
        <f>13+3.3+2.5</f>
        <v>18.8</v>
      </c>
      <c r="I6" s="279">
        <f>12.5+3.5+2</f>
        <v>18</v>
      </c>
      <c r="J6" s="281">
        <f t="shared" si="0"/>
        <v>38.799999999999997</v>
      </c>
    </row>
    <row r="7" spans="1:10" ht="18" x14ac:dyDescent="0.25">
      <c r="A7" s="54">
        <v>3</v>
      </c>
      <c r="B7" s="264" t="s">
        <v>175</v>
      </c>
      <c r="C7" s="273" t="s">
        <v>5</v>
      </c>
      <c r="D7" s="266"/>
      <c r="E7" s="141">
        <v>6</v>
      </c>
      <c r="F7" s="146">
        <v>3</v>
      </c>
      <c r="G7" s="266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249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245</v>
      </c>
      <c r="C14" s="217">
        <v>17.5</v>
      </c>
      <c r="D14" s="249"/>
      <c r="E14" s="268">
        <v>1</v>
      </c>
      <c r="F14" s="270">
        <v>1</v>
      </c>
      <c r="G14" s="249"/>
      <c r="H14" s="272">
        <f>12</f>
        <v>12</v>
      </c>
      <c r="I14" s="270">
        <f>12</f>
        <v>12</v>
      </c>
      <c r="J14" s="253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247</v>
      </c>
      <c r="C18" s="173" t="s">
        <v>5</v>
      </c>
      <c r="D18" s="248"/>
      <c r="E18" s="250">
        <v>9</v>
      </c>
      <c r="F18" s="251">
        <v>4</v>
      </c>
      <c r="G18" s="248"/>
      <c r="H18" s="252">
        <f>6</f>
        <v>6</v>
      </c>
      <c r="I18" s="251">
        <f>14</f>
        <v>14</v>
      </c>
      <c r="J18" s="253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49"/>
      <c r="E21" s="250">
        <v>1</v>
      </c>
      <c r="F21" s="251">
        <v>2</v>
      </c>
      <c r="G21" s="249"/>
      <c r="H21" s="252">
        <f>7+1</f>
        <v>8</v>
      </c>
      <c r="I21" s="251">
        <f>6+1.5</f>
        <v>7.5</v>
      </c>
      <c r="J21" s="253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240</v>
      </c>
      <c r="C24" s="215" t="s">
        <v>5</v>
      </c>
      <c r="D24" s="265"/>
      <c r="E24" s="250">
        <v>4</v>
      </c>
      <c r="F24" s="251">
        <v>9</v>
      </c>
      <c r="G24" s="265"/>
      <c r="H24" s="252">
        <f>4+0.5</f>
        <v>4.5</v>
      </c>
      <c r="I24" s="251">
        <f>6</f>
        <v>6</v>
      </c>
      <c r="J24" s="253">
        <f t="shared" si="0"/>
        <v>10.5</v>
      </c>
    </row>
    <row r="25" spans="1:10" ht="18" x14ac:dyDescent="0.25">
      <c r="A25" s="54">
        <v>21</v>
      </c>
      <c r="B25" s="168" t="s">
        <v>250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253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246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244</v>
      </c>
      <c r="C31" s="215">
        <v>20</v>
      </c>
      <c r="D31" s="248"/>
      <c r="E31" s="267">
        <v>8</v>
      </c>
      <c r="F31" s="269">
        <v>9</v>
      </c>
      <c r="G31" s="248"/>
      <c r="H31" s="271">
        <f>1.5-8</f>
        <v>-6.5</v>
      </c>
      <c r="I31" s="269">
        <f>1</f>
        <v>1</v>
      </c>
      <c r="J31" s="253">
        <f t="shared" si="0"/>
        <v>-5.5</v>
      </c>
    </row>
    <row r="32" spans="1:10" ht="18" x14ac:dyDescent="0.25">
      <c r="A32" s="54">
        <v>28</v>
      </c>
      <c r="B32" s="166" t="s">
        <v>252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A17" sqref="A17:XFD1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254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259" t="s">
        <v>206</v>
      </c>
      <c r="C5" s="260">
        <v>7.5</v>
      </c>
      <c r="D5" s="258"/>
      <c r="E5" s="213">
        <v>3</v>
      </c>
      <c r="F5" s="206">
        <v>3</v>
      </c>
      <c r="G5" s="258">
        <v>2.5</v>
      </c>
      <c r="H5" s="205">
        <f>14+5+2.5</f>
        <v>21.5</v>
      </c>
      <c r="I5" s="206">
        <f>14+5+2.5</f>
        <v>21.5</v>
      </c>
      <c r="J5" s="212">
        <f t="shared" ref="J5:J28" si="0"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 t="shared" si="0"/>
        <v>30.2</v>
      </c>
    </row>
    <row r="7" spans="1:10" ht="18.75" thickBot="1" x14ac:dyDescent="0.3">
      <c r="A7" s="54">
        <v>3</v>
      </c>
      <c r="B7" s="286" t="s">
        <v>213</v>
      </c>
      <c r="C7" s="289">
        <v>7.5</v>
      </c>
      <c r="D7" s="133"/>
      <c r="E7" s="290">
        <v>4</v>
      </c>
      <c r="F7" s="291">
        <v>7</v>
      </c>
      <c r="G7" s="133">
        <v>0.5</v>
      </c>
      <c r="H7" s="292">
        <f>13+2</f>
        <v>15</v>
      </c>
      <c r="I7" s="291">
        <f>11+1.5</f>
        <v>12.5</v>
      </c>
      <c r="J7" s="136">
        <f t="shared" si="0"/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 t="shared" si="0"/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 t="shared" si="0"/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 t="shared" si="0"/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49"/>
      <c r="E11" s="250">
        <v>2</v>
      </c>
      <c r="F11" s="251">
        <v>4</v>
      </c>
      <c r="G11" s="249"/>
      <c r="H11" s="252">
        <f>15</f>
        <v>15</v>
      </c>
      <c r="I11" s="251">
        <f>8.5+1.4</f>
        <v>9.9</v>
      </c>
      <c r="J11" s="253">
        <f t="shared" si="0"/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 t="shared" si="0"/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48"/>
      <c r="E13" s="250">
        <v>2</v>
      </c>
      <c r="F13" s="251">
        <v>1</v>
      </c>
      <c r="G13" s="248"/>
      <c r="H13" s="252">
        <f>6+2.5</f>
        <v>8.5</v>
      </c>
      <c r="I13" s="251">
        <f>11.5</f>
        <v>11.5</v>
      </c>
      <c r="J13" s="253">
        <f t="shared" si="0"/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 t="shared" si="0"/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 t="shared" si="0"/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 t="shared" si="0"/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 t="shared" si="0"/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 t="shared" si="0"/>
        <v>16</v>
      </c>
    </row>
    <row r="19" spans="1:10" ht="18" x14ac:dyDescent="0.25">
      <c r="A19" s="54">
        <v>15</v>
      </c>
      <c r="B19" s="122" t="s">
        <v>255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 t="shared" si="0"/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 t="shared" si="0"/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49"/>
      <c r="E21" s="268">
        <v>2</v>
      </c>
      <c r="F21" s="270">
        <v>6</v>
      </c>
      <c r="G21" s="249"/>
      <c r="H21" s="272">
        <f>10.5</f>
        <v>10.5</v>
      </c>
      <c r="I21" s="270">
        <f>2.5+0.5</f>
        <v>3</v>
      </c>
      <c r="J21" s="89">
        <f t="shared" si="0"/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 t="shared" si="0"/>
        <v>13.5</v>
      </c>
    </row>
    <row r="23" spans="1:10" ht="18" x14ac:dyDescent="0.25">
      <c r="A23" s="54">
        <v>19</v>
      </c>
      <c r="B23" s="220" t="s">
        <v>257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 t="shared" si="0"/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 t="shared" si="0"/>
        <v>6</v>
      </c>
    </row>
    <row r="25" spans="1:10" ht="18" x14ac:dyDescent="0.25">
      <c r="A25" s="54">
        <v>21</v>
      </c>
      <c r="B25" s="168" t="s">
        <v>240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 t="shared" si="0"/>
        <v>5.5</v>
      </c>
    </row>
    <row r="26" spans="1:10" ht="18" x14ac:dyDescent="0.25">
      <c r="A26" s="54">
        <v>22</v>
      </c>
      <c r="B26" s="168" t="s">
        <v>256</v>
      </c>
      <c r="C26" s="173">
        <v>10</v>
      </c>
      <c r="D26" s="265"/>
      <c r="E26" s="267">
        <v>7</v>
      </c>
      <c r="F26" s="269">
        <v>5</v>
      </c>
      <c r="G26" s="265"/>
      <c r="H26" s="271">
        <f>2</f>
        <v>2</v>
      </c>
      <c r="I26" s="269">
        <f>3</f>
        <v>3</v>
      </c>
      <c r="J26" s="253">
        <f t="shared" si="0"/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49"/>
      <c r="E27" s="250">
        <v>6</v>
      </c>
      <c r="F27" s="251">
        <v>7</v>
      </c>
      <c r="G27" s="249"/>
      <c r="H27" s="252">
        <f>2.5</f>
        <v>2.5</v>
      </c>
      <c r="I27" s="251">
        <f>2</f>
        <v>2</v>
      </c>
      <c r="J27" s="253">
        <f t="shared" si="0"/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10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A23" sqref="A23:XFD23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258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286" t="s">
        <v>19</v>
      </c>
      <c r="C5" s="288">
        <v>10</v>
      </c>
      <c r="D5" s="133"/>
      <c r="E5" s="141">
        <v>11</v>
      </c>
      <c r="F5" s="146">
        <v>3</v>
      </c>
      <c r="G5" s="133">
        <v>1.5</v>
      </c>
      <c r="H5" s="134">
        <f>9+2</f>
        <v>11</v>
      </c>
      <c r="I5" s="146">
        <f>14+7.5+2.5</f>
        <v>24</v>
      </c>
      <c r="J5" s="136">
        <f t="shared" ref="J5:J28" si="0">SUM(G5:I5)</f>
        <v>36.5</v>
      </c>
    </row>
    <row r="6" spans="1:10" ht="18.75" thickBot="1" x14ac:dyDescent="0.3">
      <c r="A6" s="54">
        <v>2</v>
      </c>
      <c r="B6" s="296" t="s">
        <v>6</v>
      </c>
      <c r="C6" s="297" t="s">
        <v>5</v>
      </c>
      <c r="D6" s="298"/>
      <c r="E6" s="299">
        <v>5</v>
      </c>
      <c r="F6" s="201">
        <v>9</v>
      </c>
      <c r="G6" s="298">
        <v>2.5</v>
      </c>
      <c r="H6" s="300">
        <f>12+5.9+2.5</f>
        <v>20.399999999999999</v>
      </c>
      <c r="I6" s="201">
        <f>10+2.6</f>
        <v>12.6</v>
      </c>
      <c r="J6" s="281">
        <f t="shared" si="0"/>
        <v>35.5</v>
      </c>
    </row>
    <row r="7" spans="1:10" ht="18.75" thickBot="1" x14ac:dyDescent="0.3">
      <c r="A7" s="54">
        <v>3</v>
      </c>
      <c r="B7" s="264" t="s">
        <v>51</v>
      </c>
      <c r="C7" s="273" t="s">
        <v>5</v>
      </c>
      <c r="D7" s="266"/>
      <c r="E7" s="294">
        <v>2</v>
      </c>
      <c r="F7" s="293">
        <v>1</v>
      </c>
      <c r="G7" s="266"/>
      <c r="H7" s="295">
        <f>15+3.5-4+0.5</f>
        <v>15</v>
      </c>
      <c r="I7" s="293">
        <f>16+5.2-4+1.5</f>
        <v>18.7</v>
      </c>
      <c r="J7" s="136">
        <f t="shared" si="0"/>
        <v>33.700000000000003</v>
      </c>
    </row>
    <row r="8" spans="1:10" ht="18" x14ac:dyDescent="0.25">
      <c r="A8" s="54">
        <v>4</v>
      </c>
      <c r="B8" s="168" t="s">
        <v>59</v>
      </c>
      <c r="C8" s="215">
        <v>10</v>
      </c>
      <c r="D8" s="90"/>
      <c r="E8" s="138">
        <v>1</v>
      </c>
      <c r="F8" s="152">
        <v>5</v>
      </c>
      <c r="G8" s="90"/>
      <c r="H8" s="151">
        <f>16+1.4+1</f>
        <v>18.399999999999999</v>
      </c>
      <c r="I8" s="291">
        <f>12+3.3-2+1</f>
        <v>14.3</v>
      </c>
      <c r="J8" s="89">
        <f t="shared" si="0"/>
        <v>32.700000000000003</v>
      </c>
    </row>
    <row r="9" spans="1:10" ht="18" x14ac:dyDescent="0.25">
      <c r="A9" s="54">
        <v>5</v>
      </c>
      <c r="B9" s="216" t="s">
        <v>25</v>
      </c>
      <c r="C9" s="217">
        <v>15</v>
      </c>
      <c r="D9" s="265"/>
      <c r="E9" s="250">
        <v>4</v>
      </c>
      <c r="F9" s="251">
        <v>2</v>
      </c>
      <c r="G9" s="265">
        <v>1</v>
      </c>
      <c r="H9" s="252">
        <f>13+4.2</f>
        <v>17.2</v>
      </c>
      <c r="I9" s="251">
        <f>15+0.7-4+2</f>
        <v>13.7</v>
      </c>
      <c r="J9" s="253">
        <f t="shared" si="0"/>
        <v>31.9</v>
      </c>
    </row>
    <row r="10" spans="1:10" ht="18" x14ac:dyDescent="0.25">
      <c r="A10" s="54">
        <v>6</v>
      </c>
      <c r="B10" s="218" t="s">
        <v>31</v>
      </c>
      <c r="C10" s="215" t="s">
        <v>263</v>
      </c>
      <c r="D10" s="249"/>
      <c r="E10" s="250">
        <v>9</v>
      </c>
      <c r="F10" s="251">
        <v>6</v>
      </c>
      <c r="G10" s="249">
        <v>2</v>
      </c>
      <c r="H10" s="252">
        <f>10+1.2+1.5</f>
        <v>12.7</v>
      </c>
      <c r="I10" s="251">
        <f>11.5+3.5</f>
        <v>15</v>
      </c>
      <c r="J10" s="253">
        <f t="shared" si="0"/>
        <v>29.7</v>
      </c>
    </row>
    <row r="11" spans="1:10" ht="18" x14ac:dyDescent="0.25">
      <c r="A11" s="54">
        <v>7</v>
      </c>
      <c r="B11" s="166" t="s">
        <v>15</v>
      </c>
      <c r="C11" s="175">
        <v>7.5</v>
      </c>
      <c r="D11" s="150"/>
      <c r="E11" s="142">
        <v>3</v>
      </c>
      <c r="F11" s="98">
        <v>7</v>
      </c>
      <c r="G11" s="150"/>
      <c r="H11" s="91">
        <f>14</f>
        <v>14</v>
      </c>
      <c r="I11" s="98">
        <f>11</f>
        <v>11</v>
      </c>
      <c r="J11" s="89">
        <f t="shared" si="0"/>
        <v>25</v>
      </c>
    </row>
    <row r="12" spans="1:10" ht="18" x14ac:dyDescent="0.25">
      <c r="A12" s="54">
        <v>8</v>
      </c>
      <c r="B12" s="220" t="s">
        <v>29</v>
      </c>
      <c r="C12" s="219"/>
      <c r="D12" s="87"/>
      <c r="E12" s="143">
        <v>6</v>
      </c>
      <c r="F12" s="144">
        <v>4</v>
      </c>
      <c r="G12" s="87"/>
      <c r="H12" s="94">
        <f>11.5</f>
        <v>11.5</v>
      </c>
      <c r="I12" s="144">
        <f>13</f>
        <v>13</v>
      </c>
      <c r="J12" s="89">
        <f t="shared" si="0"/>
        <v>24.5</v>
      </c>
    </row>
    <row r="13" spans="1:10" ht="18" x14ac:dyDescent="0.25">
      <c r="A13" s="54">
        <v>9</v>
      </c>
      <c r="B13" s="172" t="s">
        <v>126</v>
      </c>
      <c r="C13" s="219"/>
      <c r="D13" s="150"/>
      <c r="E13" s="142">
        <v>5</v>
      </c>
      <c r="F13" s="98">
        <v>2</v>
      </c>
      <c r="G13" s="150"/>
      <c r="H13" s="91">
        <f>6+2.8</f>
        <v>8.8000000000000007</v>
      </c>
      <c r="I13" s="98">
        <f>9+5.6</f>
        <v>14.6</v>
      </c>
      <c r="J13" s="89">
        <f t="shared" si="0"/>
        <v>23.4</v>
      </c>
    </row>
    <row r="14" spans="1:10" ht="18" x14ac:dyDescent="0.25">
      <c r="A14" s="54">
        <v>10</v>
      </c>
      <c r="B14" s="218" t="s">
        <v>213</v>
      </c>
      <c r="C14" s="215">
        <v>5</v>
      </c>
      <c r="D14" s="87"/>
      <c r="E14" s="142">
        <v>7</v>
      </c>
      <c r="F14" s="98">
        <v>10</v>
      </c>
      <c r="G14" s="87"/>
      <c r="H14" s="91">
        <f>11</f>
        <v>11</v>
      </c>
      <c r="I14" s="98">
        <f>9.5</f>
        <v>9.5</v>
      </c>
      <c r="J14" s="89">
        <f t="shared" si="0"/>
        <v>20.5</v>
      </c>
    </row>
    <row r="15" spans="1:10" ht="18" x14ac:dyDescent="0.25">
      <c r="A15" s="54">
        <v>11</v>
      </c>
      <c r="B15" s="122" t="s">
        <v>134</v>
      </c>
      <c r="C15" s="175" t="s">
        <v>5</v>
      </c>
      <c r="D15" s="87"/>
      <c r="E15" s="138">
        <v>1</v>
      </c>
      <c r="F15" s="152">
        <v>11</v>
      </c>
      <c r="G15" s="87"/>
      <c r="H15" s="151">
        <f>10+6.3</f>
        <v>16.3</v>
      </c>
      <c r="I15" s="98">
        <f>3</f>
        <v>3</v>
      </c>
      <c r="J15" s="89">
        <f t="shared" si="0"/>
        <v>19.3</v>
      </c>
    </row>
    <row r="16" spans="1:10" ht="18" x14ac:dyDescent="0.25">
      <c r="A16" s="54">
        <v>12</v>
      </c>
      <c r="B16" s="168" t="s">
        <v>150</v>
      </c>
      <c r="C16" s="215">
        <v>2.5</v>
      </c>
      <c r="D16" s="87"/>
      <c r="E16" s="142">
        <v>8</v>
      </c>
      <c r="F16" s="98">
        <v>8</v>
      </c>
      <c r="G16" s="87"/>
      <c r="H16" s="91">
        <f>10.5-4</f>
        <v>6.5</v>
      </c>
      <c r="I16" s="98">
        <f>10.5</f>
        <v>10.5</v>
      </c>
      <c r="J16" s="89">
        <f t="shared" si="0"/>
        <v>17</v>
      </c>
    </row>
    <row r="17" spans="1:33" ht="18" x14ac:dyDescent="0.25">
      <c r="A17" s="54">
        <v>13</v>
      </c>
      <c r="B17" s="168" t="s">
        <v>260</v>
      </c>
      <c r="C17" s="173">
        <v>10</v>
      </c>
      <c r="D17" s="87"/>
      <c r="E17" s="142">
        <v>2</v>
      </c>
      <c r="F17" s="98">
        <v>6</v>
      </c>
      <c r="G17" s="87"/>
      <c r="H17" s="91">
        <f>9</f>
        <v>9</v>
      </c>
      <c r="I17" s="98">
        <f>6+1.4</f>
        <v>7.4</v>
      </c>
      <c r="J17" s="89">
        <f t="shared" si="0"/>
        <v>16.399999999999999</v>
      </c>
    </row>
    <row r="18" spans="1:33" ht="18" x14ac:dyDescent="0.25">
      <c r="A18" s="54">
        <v>14</v>
      </c>
      <c r="B18" s="168" t="s">
        <v>62</v>
      </c>
      <c r="C18" s="173"/>
      <c r="D18" s="249"/>
      <c r="E18" s="268">
        <v>8</v>
      </c>
      <c r="F18" s="270">
        <v>3</v>
      </c>
      <c r="G18" s="249"/>
      <c r="H18" s="272">
        <f>4.5</f>
        <v>4.5</v>
      </c>
      <c r="I18" s="270">
        <f>8+3.5</f>
        <v>11.5</v>
      </c>
      <c r="J18" s="89">
        <f t="shared" si="0"/>
        <v>16</v>
      </c>
      <c r="O18" t="s">
        <v>263</v>
      </c>
    </row>
    <row r="19" spans="1:33" ht="18" x14ac:dyDescent="0.25">
      <c r="A19" s="54">
        <v>15</v>
      </c>
      <c r="B19" s="166" t="s">
        <v>20</v>
      </c>
      <c r="C19" s="173" t="s">
        <v>5</v>
      </c>
      <c r="D19" s="87"/>
      <c r="E19" s="138">
        <v>10</v>
      </c>
      <c r="F19" s="152">
        <v>11</v>
      </c>
      <c r="G19" s="87">
        <v>0.5</v>
      </c>
      <c r="H19" s="151">
        <f>9.5-4</f>
        <v>5.5</v>
      </c>
      <c r="I19" s="152">
        <f>9</f>
        <v>9</v>
      </c>
      <c r="J19" s="89">
        <f t="shared" si="0"/>
        <v>15</v>
      </c>
    </row>
    <row r="20" spans="1:33" ht="18" x14ac:dyDescent="0.25">
      <c r="A20" s="54">
        <v>16</v>
      </c>
      <c r="B20" s="168" t="s">
        <v>26</v>
      </c>
      <c r="C20" s="215"/>
      <c r="D20" s="125"/>
      <c r="E20" s="142">
        <v>3</v>
      </c>
      <c r="F20" s="98">
        <v>8</v>
      </c>
      <c r="G20" s="125"/>
      <c r="H20" s="91">
        <f>8+1.4</f>
        <v>9.4</v>
      </c>
      <c r="I20" s="98">
        <f>4.5+0.7</f>
        <v>5.2</v>
      </c>
      <c r="J20" s="89">
        <f t="shared" si="0"/>
        <v>14.600000000000001</v>
      </c>
    </row>
    <row r="21" spans="1:33" ht="18" x14ac:dyDescent="0.25">
      <c r="A21" s="54">
        <v>17</v>
      </c>
      <c r="B21" s="168" t="s">
        <v>262</v>
      </c>
      <c r="C21" s="221"/>
      <c r="D21" s="150"/>
      <c r="E21" s="142">
        <v>11</v>
      </c>
      <c r="F21" s="98">
        <v>1</v>
      </c>
      <c r="G21" s="150"/>
      <c r="H21" s="91">
        <f>3</f>
        <v>3</v>
      </c>
      <c r="I21" s="98">
        <f>10</f>
        <v>10</v>
      </c>
      <c r="J21" s="89">
        <f t="shared" si="0"/>
        <v>13</v>
      </c>
    </row>
    <row r="22" spans="1:33" ht="18" x14ac:dyDescent="0.25">
      <c r="A22" s="54">
        <v>18</v>
      </c>
      <c r="B22" s="216" t="s">
        <v>259</v>
      </c>
      <c r="C22" s="217" t="s">
        <v>5</v>
      </c>
      <c r="D22" s="87"/>
      <c r="E22" s="142">
        <v>9</v>
      </c>
      <c r="F22" s="98">
        <v>4</v>
      </c>
      <c r="G22" s="87"/>
      <c r="H22" s="91">
        <f>4</f>
        <v>4</v>
      </c>
      <c r="I22" s="98">
        <f>7</f>
        <v>7</v>
      </c>
      <c r="J22" s="89">
        <f t="shared" si="0"/>
        <v>11</v>
      </c>
    </row>
    <row r="23" spans="1:33" ht="18" x14ac:dyDescent="0.25">
      <c r="A23" s="54">
        <v>19</v>
      </c>
      <c r="B23" s="122" t="s">
        <v>197</v>
      </c>
      <c r="C23" s="175">
        <v>20</v>
      </c>
      <c r="D23" s="248"/>
      <c r="E23" s="250">
        <v>7</v>
      </c>
      <c r="F23" s="251">
        <v>6</v>
      </c>
      <c r="G23" s="248"/>
      <c r="H23" s="252">
        <f>5</f>
        <v>5</v>
      </c>
      <c r="I23" s="251">
        <f>5.5</f>
        <v>5.5</v>
      </c>
      <c r="J23" s="253">
        <f t="shared" si="0"/>
        <v>10.5</v>
      </c>
    </row>
    <row r="24" spans="1:33" ht="18" x14ac:dyDescent="0.25">
      <c r="A24" s="54">
        <v>20</v>
      </c>
      <c r="B24" s="122" t="s">
        <v>161</v>
      </c>
      <c r="C24" s="175" t="s">
        <v>5</v>
      </c>
      <c r="D24" s="87"/>
      <c r="E24" s="142">
        <v>4</v>
      </c>
      <c r="F24" s="98">
        <v>7</v>
      </c>
      <c r="G24" s="87"/>
      <c r="H24" s="91">
        <f>7-4</f>
        <v>3</v>
      </c>
      <c r="I24" s="98">
        <f>5</f>
        <v>5</v>
      </c>
      <c r="J24" s="89">
        <f t="shared" si="0"/>
        <v>8</v>
      </c>
      <c r="AG24" t="s">
        <v>263</v>
      </c>
    </row>
    <row r="25" spans="1:33" ht="18" x14ac:dyDescent="0.25">
      <c r="A25" s="54">
        <v>21</v>
      </c>
      <c r="B25" s="170" t="s">
        <v>261</v>
      </c>
      <c r="C25" s="174" t="s">
        <v>5</v>
      </c>
      <c r="D25" s="87"/>
      <c r="E25" s="143">
        <v>10</v>
      </c>
      <c r="F25" s="144">
        <v>9</v>
      </c>
      <c r="G25" s="87"/>
      <c r="H25" s="94">
        <f>3.5</f>
        <v>3.5</v>
      </c>
      <c r="I25" s="144">
        <f>4</f>
        <v>4</v>
      </c>
      <c r="J25" s="89">
        <f t="shared" si="0"/>
        <v>7.5</v>
      </c>
    </row>
    <row r="26" spans="1:33" ht="18" x14ac:dyDescent="0.25">
      <c r="A26" s="54">
        <v>22</v>
      </c>
      <c r="B26" s="168" t="s">
        <v>216</v>
      </c>
      <c r="C26" s="173"/>
      <c r="D26" s="265"/>
      <c r="E26" s="267">
        <v>6</v>
      </c>
      <c r="F26" s="269">
        <v>10</v>
      </c>
      <c r="G26" s="265"/>
      <c r="H26" s="271">
        <f>5.5</f>
        <v>5.5</v>
      </c>
      <c r="I26" s="269">
        <f>3.5-4</f>
        <v>-0.5</v>
      </c>
      <c r="J26" s="253">
        <f t="shared" si="0"/>
        <v>5</v>
      </c>
    </row>
    <row r="27" spans="1:33" ht="18" x14ac:dyDescent="0.25">
      <c r="A27" s="54">
        <v>23</v>
      </c>
      <c r="B27" s="166"/>
      <c r="C27" s="173"/>
      <c r="D27" s="249"/>
      <c r="E27" s="250"/>
      <c r="F27" s="251"/>
      <c r="G27" s="249"/>
      <c r="H27" s="252"/>
      <c r="I27" s="251"/>
      <c r="J27" s="253">
        <f t="shared" si="0"/>
        <v>0</v>
      </c>
    </row>
    <row r="28" spans="1:33" ht="18" x14ac:dyDescent="0.25">
      <c r="A28" s="54">
        <v>24</v>
      </c>
      <c r="B28" s="168"/>
      <c r="C28" s="175"/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33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33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6">
    <sortCondition descending="1" ref="J5:J26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opLeftCell="A4" zoomScale="70" zoomScaleNormal="70" workbookViewId="0">
      <selection activeCell="A16" sqref="A16:XFD16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258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305" t="s">
        <v>6</v>
      </c>
      <c r="C5" s="306" t="s">
        <v>5</v>
      </c>
      <c r="D5" s="209"/>
      <c r="E5" s="261">
        <v>1</v>
      </c>
      <c r="F5" s="262">
        <v>1</v>
      </c>
      <c r="G5" s="209"/>
      <c r="H5" s="263">
        <f>16+2.2+2.5</f>
        <v>20.7</v>
      </c>
      <c r="I5" s="262">
        <f>16+5.7+2.5</f>
        <v>24.2</v>
      </c>
      <c r="J5" s="212">
        <f t="shared" ref="J5:J30" si="0">SUM(G5:I5)</f>
        <v>44.9</v>
      </c>
    </row>
    <row r="6" spans="1:10" ht="18.75" thickBot="1" x14ac:dyDescent="0.3">
      <c r="A6" s="54">
        <v>2</v>
      </c>
      <c r="B6" s="285" t="s">
        <v>179</v>
      </c>
      <c r="C6" s="287">
        <v>5</v>
      </c>
      <c r="D6" s="304"/>
      <c r="E6" s="301">
        <v>2</v>
      </c>
      <c r="F6" s="302">
        <v>2</v>
      </c>
      <c r="G6" s="304">
        <v>1.5</v>
      </c>
      <c r="H6" s="303">
        <f>15+4.5+1.5</f>
        <v>21</v>
      </c>
      <c r="I6" s="302">
        <f>15+3.5-4+2</f>
        <v>16.5</v>
      </c>
      <c r="J6" s="283">
        <f t="shared" si="0"/>
        <v>39</v>
      </c>
    </row>
    <row r="7" spans="1:10" ht="18.75" thickBot="1" x14ac:dyDescent="0.3">
      <c r="A7" s="54">
        <v>3</v>
      </c>
      <c r="B7" s="284" t="s">
        <v>25</v>
      </c>
      <c r="C7" s="282">
        <v>15</v>
      </c>
      <c r="D7" s="133"/>
      <c r="E7" s="141">
        <v>4</v>
      </c>
      <c r="F7" s="146">
        <v>5</v>
      </c>
      <c r="G7" s="133">
        <v>2</v>
      </c>
      <c r="H7" s="134">
        <f>13+4.2+2</f>
        <v>19.2</v>
      </c>
      <c r="I7" s="146">
        <f>12+2.1+1.5</f>
        <v>15.6</v>
      </c>
      <c r="J7" s="136">
        <f t="shared" si="0"/>
        <v>36.799999999999997</v>
      </c>
    </row>
    <row r="8" spans="1:10" ht="18" x14ac:dyDescent="0.25">
      <c r="A8" s="54">
        <v>4</v>
      </c>
      <c r="B8" s="216" t="s">
        <v>268</v>
      </c>
      <c r="C8" s="217" t="s">
        <v>5</v>
      </c>
      <c r="D8" s="150"/>
      <c r="E8" s="142">
        <v>1</v>
      </c>
      <c r="F8" s="98">
        <v>4</v>
      </c>
      <c r="G8" s="150"/>
      <c r="H8" s="91">
        <f>11+3.5</f>
        <v>14.5</v>
      </c>
      <c r="I8" s="146">
        <f>13+0.5</f>
        <v>13.5</v>
      </c>
      <c r="J8" s="89">
        <f t="shared" si="0"/>
        <v>28</v>
      </c>
    </row>
    <row r="9" spans="1:10" ht="18" x14ac:dyDescent="0.25">
      <c r="A9" s="54">
        <v>5</v>
      </c>
      <c r="B9" s="170" t="s">
        <v>31</v>
      </c>
      <c r="C9" s="174"/>
      <c r="D9" s="150"/>
      <c r="E9" s="142">
        <v>7</v>
      </c>
      <c r="F9" s="98">
        <v>3</v>
      </c>
      <c r="G9" s="150">
        <v>1</v>
      </c>
      <c r="H9" s="91">
        <f>11</f>
        <v>11</v>
      </c>
      <c r="I9" s="98">
        <f>14</f>
        <v>14</v>
      </c>
      <c r="J9" s="89">
        <f t="shared" si="0"/>
        <v>26</v>
      </c>
    </row>
    <row r="10" spans="1:10" ht="18" x14ac:dyDescent="0.25">
      <c r="A10" s="54">
        <v>6</v>
      </c>
      <c r="B10" s="168" t="s">
        <v>29</v>
      </c>
      <c r="C10" s="175">
        <v>2.5</v>
      </c>
      <c r="D10" s="90"/>
      <c r="E10" s="138">
        <v>3</v>
      </c>
      <c r="F10" s="152">
        <v>7</v>
      </c>
      <c r="G10" s="90"/>
      <c r="H10" s="151">
        <f>14+1</f>
        <v>15</v>
      </c>
      <c r="I10" s="152">
        <f>11</f>
        <v>11</v>
      </c>
      <c r="J10" s="89">
        <f t="shared" si="0"/>
        <v>26</v>
      </c>
    </row>
    <row r="11" spans="1:10" ht="18" x14ac:dyDescent="0.25">
      <c r="A11" s="54">
        <v>7</v>
      </c>
      <c r="B11" s="218" t="s">
        <v>270</v>
      </c>
      <c r="C11" s="215"/>
      <c r="D11" s="87"/>
      <c r="E11" s="138">
        <v>5</v>
      </c>
      <c r="F11" s="152">
        <v>6</v>
      </c>
      <c r="G11" s="87">
        <v>0.5</v>
      </c>
      <c r="H11" s="151">
        <f>12+0.5</f>
        <v>12.5</v>
      </c>
      <c r="I11" s="152">
        <f>11.5+1</f>
        <v>12.5</v>
      </c>
      <c r="J11" s="89">
        <f t="shared" si="0"/>
        <v>25.5</v>
      </c>
    </row>
    <row r="12" spans="1:10" ht="18" x14ac:dyDescent="0.25">
      <c r="A12" s="54">
        <v>8</v>
      </c>
      <c r="B12" s="166" t="s">
        <v>178</v>
      </c>
      <c r="C12" s="173" t="s">
        <v>5</v>
      </c>
      <c r="D12" s="87"/>
      <c r="E12" s="143">
        <v>3</v>
      </c>
      <c r="F12" s="144">
        <v>3</v>
      </c>
      <c r="G12" s="87"/>
      <c r="H12" s="94">
        <f>9+1.4</f>
        <v>10.4</v>
      </c>
      <c r="I12" s="144">
        <f>9+2.1</f>
        <v>11.1</v>
      </c>
      <c r="J12" s="89">
        <f t="shared" si="0"/>
        <v>21.5</v>
      </c>
    </row>
    <row r="13" spans="1:10" ht="18" x14ac:dyDescent="0.25">
      <c r="A13" s="54">
        <v>9</v>
      </c>
      <c r="B13" s="166" t="s">
        <v>150</v>
      </c>
      <c r="C13" s="175">
        <v>2.5</v>
      </c>
      <c r="D13" s="125"/>
      <c r="E13" s="142">
        <v>5</v>
      </c>
      <c r="F13" s="98">
        <v>8</v>
      </c>
      <c r="G13" s="125"/>
      <c r="H13" s="91">
        <f>7+2.1</f>
        <v>9.1</v>
      </c>
      <c r="I13" s="98">
        <f>10.5</f>
        <v>10.5</v>
      </c>
      <c r="J13" s="89">
        <f t="shared" si="0"/>
        <v>19.600000000000001</v>
      </c>
    </row>
    <row r="14" spans="1:10" ht="18" x14ac:dyDescent="0.25">
      <c r="A14" s="54">
        <v>10</v>
      </c>
      <c r="B14" s="168" t="s">
        <v>59</v>
      </c>
      <c r="C14" s="174"/>
      <c r="D14" s="90"/>
      <c r="E14" s="138">
        <v>9</v>
      </c>
      <c r="F14" s="152">
        <v>1</v>
      </c>
      <c r="G14" s="90"/>
      <c r="H14" s="151">
        <f>10.5</f>
        <v>10.5</v>
      </c>
      <c r="I14" s="152">
        <f>6.5+1.5</f>
        <v>8</v>
      </c>
      <c r="J14" s="89">
        <f t="shared" si="0"/>
        <v>18.5</v>
      </c>
    </row>
    <row r="15" spans="1:10" ht="18" x14ac:dyDescent="0.25">
      <c r="A15" s="54">
        <v>11</v>
      </c>
      <c r="B15" s="122" t="s">
        <v>269</v>
      </c>
      <c r="C15" s="175" t="s">
        <v>5</v>
      </c>
      <c r="D15" s="265"/>
      <c r="E15" s="250">
        <v>1</v>
      </c>
      <c r="F15" s="251">
        <v>2</v>
      </c>
      <c r="G15" s="265"/>
      <c r="H15" s="252">
        <f>6.5+1</f>
        <v>7.5</v>
      </c>
      <c r="I15" s="251">
        <f>10</f>
        <v>10</v>
      </c>
      <c r="J15" s="253">
        <f t="shared" si="0"/>
        <v>17.5</v>
      </c>
    </row>
    <row r="16" spans="1:10" ht="18" x14ac:dyDescent="0.25">
      <c r="A16" s="54">
        <v>12</v>
      </c>
      <c r="B16" s="307" t="s">
        <v>19</v>
      </c>
      <c r="C16" s="308">
        <v>10</v>
      </c>
      <c r="D16" s="309"/>
      <c r="E16" s="310">
        <v>6</v>
      </c>
      <c r="F16" s="197"/>
      <c r="G16" s="309">
        <v>2.5</v>
      </c>
      <c r="H16" s="311">
        <f>11.5+3.5</f>
        <v>15</v>
      </c>
      <c r="I16" s="197"/>
      <c r="J16" s="312">
        <f t="shared" si="0"/>
        <v>17.5</v>
      </c>
    </row>
    <row r="17" spans="1:33" ht="18" x14ac:dyDescent="0.25">
      <c r="A17" s="54">
        <v>13</v>
      </c>
      <c r="B17" s="168" t="s">
        <v>267</v>
      </c>
      <c r="C17" s="215">
        <v>7.5</v>
      </c>
      <c r="D17" s="87"/>
      <c r="E17" s="143">
        <v>3</v>
      </c>
      <c r="F17" s="144">
        <v>1</v>
      </c>
      <c r="G17" s="87"/>
      <c r="H17" s="94">
        <f>4.5+2</f>
        <v>6.5</v>
      </c>
      <c r="I17" s="144">
        <f>11</f>
        <v>11</v>
      </c>
      <c r="J17" s="89">
        <f t="shared" si="0"/>
        <v>17.5</v>
      </c>
    </row>
    <row r="18" spans="1:33" ht="18" x14ac:dyDescent="0.25">
      <c r="A18" s="54">
        <v>14</v>
      </c>
      <c r="B18" s="122" t="s">
        <v>134</v>
      </c>
      <c r="C18" s="175" t="s">
        <v>5</v>
      </c>
      <c r="D18" s="87"/>
      <c r="E18" s="142">
        <v>2</v>
      </c>
      <c r="F18" s="98">
        <v>6</v>
      </c>
      <c r="G18" s="87"/>
      <c r="H18" s="91">
        <f>10</f>
        <v>10</v>
      </c>
      <c r="I18" s="98">
        <f>6.5+0.7</f>
        <v>7.2</v>
      </c>
      <c r="J18" s="89">
        <f t="shared" si="0"/>
        <v>17.2</v>
      </c>
      <c r="O18" t="s">
        <v>263</v>
      </c>
    </row>
    <row r="19" spans="1:33" ht="18" x14ac:dyDescent="0.25">
      <c r="A19" s="54">
        <v>15</v>
      </c>
      <c r="B19" s="166" t="s">
        <v>264</v>
      </c>
      <c r="C19" s="173">
        <v>12.5</v>
      </c>
      <c r="D19" s="265"/>
      <c r="E19" s="267">
        <v>8</v>
      </c>
      <c r="F19" s="269">
        <v>4</v>
      </c>
      <c r="G19" s="265"/>
      <c r="H19" s="271">
        <f>10.5</f>
        <v>10.5</v>
      </c>
      <c r="I19" s="269">
        <f>3.5+2</f>
        <v>5.5</v>
      </c>
      <c r="J19" s="253">
        <f t="shared" si="0"/>
        <v>16</v>
      </c>
    </row>
    <row r="20" spans="1:33" ht="18" x14ac:dyDescent="0.25">
      <c r="A20" s="54">
        <v>16</v>
      </c>
      <c r="B20" s="216" t="s">
        <v>213</v>
      </c>
      <c r="C20" s="217">
        <v>7.5</v>
      </c>
      <c r="D20" s="150"/>
      <c r="E20" s="142">
        <v>2</v>
      </c>
      <c r="F20" s="98">
        <v>7</v>
      </c>
      <c r="G20" s="150"/>
      <c r="H20" s="91">
        <f>6.5+3</f>
        <v>9.5</v>
      </c>
      <c r="I20" s="98">
        <f>6</f>
        <v>6</v>
      </c>
      <c r="J20" s="89">
        <f t="shared" si="0"/>
        <v>15.5</v>
      </c>
    </row>
    <row r="21" spans="1:33" ht="18" x14ac:dyDescent="0.25">
      <c r="A21" s="54">
        <v>17</v>
      </c>
      <c r="B21" s="166" t="s">
        <v>126</v>
      </c>
      <c r="C21" s="176"/>
      <c r="D21" s="125"/>
      <c r="E21" s="142">
        <v>4</v>
      </c>
      <c r="F21" s="98">
        <v>5</v>
      </c>
      <c r="G21" s="87"/>
      <c r="H21" s="91">
        <v>8</v>
      </c>
      <c r="I21" s="98">
        <f>7</f>
        <v>7</v>
      </c>
      <c r="J21" s="89">
        <f t="shared" si="0"/>
        <v>15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7</v>
      </c>
      <c r="F22" s="98">
        <v>4</v>
      </c>
      <c r="G22" s="87"/>
      <c r="H22" s="91">
        <f>6</f>
        <v>6</v>
      </c>
      <c r="I22" s="98">
        <f>8+0.7-4</f>
        <v>4.6999999999999993</v>
      </c>
      <c r="J22" s="89">
        <f t="shared" si="0"/>
        <v>10.7</v>
      </c>
    </row>
    <row r="23" spans="1:33" ht="18" x14ac:dyDescent="0.25">
      <c r="A23" s="54">
        <v>19</v>
      </c>
      <c r="B23" s="168" t="s">
        <v>197</v>
      </c>
      <c r="C23" s="221">
        <v>20</v>
      </c>
      <c r="D23" s="87"/>
      <c r="E23" s="142">
        <v>4</v>
      </c>
      <c r="F23" s="98">
        <v>3</v>
      </c>
      <c r="G23" s="87"/>
      <c r="H23" s="91">
        <f>3.5</f>
        <v>3.5</v>
      </c>
      <c r="I23" s="98">
        <f>4.5+1</f>
        <v>5.5</v>
      </c>
      <c r="J23" s="89">
        <f t="shared" si="0"/>
        <v>9</v>
      </c>
    </row>
    <row r="24" spans="1:33" ht="18" x14ac:dyDescent="0.25">
      <c r="A24" s="54">
        <v>20</v>
      </c>
      <c r="B24" s="166" t="s">
        <v>26</v>
      </c>
      <c r="C24" s="173">
        <v>5</v>
      </c>
      <c r="D24" s="249"/>
      <c r="E24" s="250">
        <v>6</v>
      </c>
      <c r="F24" s="251">
        <v>6</v>
      </c>
      <c r="G24" s="249"/>
      <c r="H24" s="252">
        <f>6.5</f>
        <v>6.5</v>
      </c>
      <c r="I24" s="251">
        <f>2+0.5</f>
        <v>2.5</v>
      </c>
      <c r="J24" s="253">
        <f t="shared" si="0"/>
        <v>9</v>
      </c>
      <c r="AG24" t="s">
        <v>263</v>
      </c>
    </row>
    <row r="25" spans="1:33" ht="18" x14ac:dyDescent="0.25">
      <c r="A25" s="54">
        <v>21</v>
      </c>
      <c r="B25" s="168" t="s">
        <v>272</v>
      </c>
      <c r="C25" s="173" t="s">
        <v>5</v>
      </c>
      <c r="D25" s="87"/>
      <c r="E25" s="142">
        <v>7</v>
      </c>
      <c r="F25" s="98">
        <v>2</v>
      </c>
      <c r="G25" s="87"/>
      <c r="H25" s="91">
        <f>0.5</f>
        <v>0.5</v>
      </c>
      <c r="I25" s="98">
        <f>5.5+0.5</f>
        <v>6</v>
      </c>
      <c r="J25" s="89">
        <f t="shared" si="0"/>
        <v>6.5</v>
      </c>
    </row>
    <row r="26" spans="1:33" ht="18" x14ac:dyDescent="0.25">
      <c r="A26" s="54">
        <v>22</v>
      </c>
      <c r="B26" s="168" t="s">
        <v>51</v>
      </c>
      <c r="C26" s="215" t="s">
        <v>5</v>
      </c>
      <c r="D26" s="87"/>
      <c r="E26" s="138">
        <v>5</v>
      </c>
      <c r="F26" s="152">
        <v>5</v>
      </c>
      <c r="G26" s="87"/>
      <c r="H26" s="151">
        <f>2.5+0.5</f>
        <v>3</v>
      </c>
      <c r="I26" s="152">
        <f>2.5+0.5</f>
        <v>3</v>
      </c>
      <c r="J26" s="89">
        <f t="shared" si="0"/>
        <v>6</v>
      </c>
    </row>
    <row r="27" spans="1:33" ht="18" x14ac:dyDescent="0.25">
      <c r="A27" s="54">
        <v>23</v>
      </c>
      <c r="B27" s="220" t="s">
        <v>20</v>
      </c>
      <c r="C27" s="219" t="s">
        <v>5</v>
      </c>
      <c r="D27" s="150"/>
      <c r="E27" s="129">
        <v>8</v>
      </c>
      <c r="F27" s="137"/>
      <c r="G27" s="150"/>
      <c r="H27" s="140">
        <f>5.5</f>
        <v>5.5</v>
      </c>
      <c r="I27" s="137"/>
      <c r="J27" s="89">
        <f t="shared" si="0"/>
        <v>5.5</v>
      </c>
    </row>
    <row r="28" spans="1:33" ht="18" x14ac:dyDescent="0.25">
      <c r="A28" s="54">
        <v>24</v>
      </c>
      <c r="B28" s="122" t="s">
        <v>265</v>
      </c>
      <c r="C28" s="175">
        <v>5</v>
      </c>
      <c r="D28" s="248"/>
      <c r="E28" s="250">
        <v>6</v>
      </c>
      <c r="F28" s="251">
        <v>7</v>
      </c>
      <c r="G28" s="248"/>
      <c r="H28" s="252">
        <f>2</f>
        <v>2</v>
      </c>
      <c r="I28" s="251">
        <f>1.5</f>
        <v>1.5</v>
      </c>
      <c r="J28" s="253">
        <f t="shared" si="0"/>
        <v>3.5</v>
      </c>
    </row>
    <row r="29" spans="1:33" ht="18" x14ac:dyDescent="0.25">
      <c r="A29" s="54">
        <v>25</v>
      </c>
      <c r="B29" s="168" t="s">
        <v>266</v>
      </c>
      <c r="C29" s="215">
        <v>2.5</v>
      </c>
      <c r="D29" s="248"/>
      <c r="E29" s="250">
        <v>8</v>
      </c>
      <c r="F29" s="251">
        <v>8</v>
      </c>
      <c r="G29" s="248"/>
      <c r="H29" s="252">
        <v>1</v>
      </c>
      <c r="I29" s="251">
        <f>1</f>
        <v>1</v>
      </c>
      <c r="J29" s="253">
        <f t="shared" si="0"/>
        <v>2</v>
      </c>
    </row>
    <row r="30" spans="1:33" ht="20.25" customHeight="1" x14ac:dyDescent="0.25">
      <c r="A30" s="56">
        <v>26</v>
      </c>
      <c r="B30" s="168" t="s">
        <v>161</v>
      </c>
      <c r="C30" s="173" t="s">
        <v>5</v>
      </c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customHeight="1" x14ac:dyDescent="0.25">
      <c r="A31" s="123">
        <v>27</v>
      </c>
      <c r="B31" s="220" t="s">
        <v>271</v>
      </c>
      <c r="C31" s="215"/>
      <c r="D31" s="248"/>
      <c r="E31" s="267"/>
      <c r="F31" s="269"/>
      <c r="G31" s="248"/>
      <c r="H31" s="271"/>
      <c r="I31" s="269"/>
      <c r="J31" s="253">
        <f t="shared" ref="J31:J32" si="1">SUM(G31:I31)</f>
        <v>0</v>
      </c>
    </row>
    <row r="32" spans="1:33" ht="18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30">
    <sortCondition descending="1" ref="J5:J30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B5" sqref="B5:J5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273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284" t="s">
        <v>274</v>
      </c>
      <c r="C5" s="282">
        <v>7.5</v>
      </c>
      <c r="D5" s="313"/>
      <c r="E5" s="314">
        <v>1</v>
      </c>
      <c r="F5" s="315">
        <v>1</v>
      </c>
      <c r="G5" s="313">
        <v>2.5</v>
      </c>
      <c r="H5" s="316">
        <f>15+6.7+2</f>
        <v>23.7</v>
      </c>
      <c r="I5" s="315">
        <f>15+6.7+2.5</f>
        <v>24.2</v>
      </c>
      <c r="J5" s="317">
        <f t="shared" ref="J5:J15" si="0">SUM(G5:I5)</f>
        <v>50.4</v>
      </c>
    </row>
    <row r="6" spans="1:10" ht="18.75" thickBot="1" x14ac:dyDescent="0.3">
      <c r="A6" s="54">
        <v>2</v>
      </c>
      <c r="B6" s="320" t="s">
        <v>25</v>
      </c>
      <c r="C6" s="321">
        <v>15</v>
      </c>
      <c r="D6" s="304"/>
      <c r="E6" s="323">
        <v>3</v>
      </c>
      <c r="F6" s="325">
        <v>6</v>
      </c>
      <c r="G6" s="304">
        <v>2</v>
      </c>
      <c r="H6" s="327">
        <f>13+4.6+2.5</f>
        <v>20.100000000000001</v>
      </c>
      <c r="I6" s="325">
        <f>10.5+5+2</f>
        <v>17.5</v>
      </c>
      <c r="J6" s="283">
        <f t="shared" si="0"/>
        <v>39.6</v>
      </c>
    </row>
    <row r="7" spans="1:10" ht="18" x14ac:dyDescent="0.25">
      <c r="A7" s="54">
        <v>3</v>
      </c>
      <c r="B7" s="264" t="s">
        <v>268</v>
      </c>
      <c r="C7" s="282" t="s">
        <v>5</v>
      </c>
      <c r="D7" s="313"/>
      <c r="E7" s="322">
        <v>2</v>
      </c>
      <c r="F7" s="324">
        <v>4</v>
      </c>
      <c r="G7" s="313">
        <v>1.5</v>
      </c>
      <c r="H7" s="326">
        <f>14+4.1+1.5</f>
        <v>19.600000000000001</v>
      </c>
      <c r="I7" s="324">
        <f>12+4+1.5</f>
        <v>17.5</v>
      </c>
      <c r="J7" s="317">
        <f t="shared" si="0"/>
        <v>38.6</v>
      </c>
    </row>
    <row r="8" spans="1:10" ht="18" x14ac:dyDescent="0.25">
      <c r="A8" s="54">
        <v>4</v>
      </c>
      <c r="B8" s="218" t="s">
        <v>20</v>
      </c>
      <c r="C8" s="215" t="s">
        <v>5</v>
      </c>
      <c r="D8" s="249"/>
      <c r="E8" s="250">
        <v>4</v>
      </c>
      <c r="F8" s="251">
        <v>2</v>
      </c>
      <c r="G8" s="249"/>
      <c r="H8" s="252">
        <f>12+0.6</f>
        <v>12.6</v>
      </c>
      <c r="I8" s="319">
        <f>14+1.1+1</f>
        <v>16.100000000000001</v>
      </c>
      <c r="J8" s="253">
        <f t="shared" si="0"/>
        <v>28.700000000000003</v>
      </c>
    </row>
    <row r="9" spans="1:10" ht="18" x14ac:dyDescent="0.25">
      <c r="A9" s="54">
        <v>5</v>
      </c>
      <c r="B9" s="216" t="s">
        <v>19</v>
      </c>
      <c r="C9" s="217"/>
      <c r="D9" s="265"/>
      <c r="E9" s="250">
        <v>5</v>
      </c>
      <c r="F9" s="251">
        <v>5</v>
      </c>
      <c r="G9" s="265"/>
      <c r="H9" s="252">
        <f>11+5.7+1</f>
        <v>17.7</v>
      </c>
      <c r="I9" s="251">
        <f>11+2.4-4+0.5</f>
        <v>9.9</v>
      </c>
      <c r="J9" s="253">
        <f t="shared" si="0"/>
        <v>27.6</v>
      </c>
    </row>
    <row r="10" spans="1:10" ht="18" x14ac:dyDescent="0.25">
      <c r="A10" s="54">
        <v>6</v>
      </c>
      <c r="B10" s="172" t="s">
        <v>170</v>
      </c>
      <c r="C10" s="217" t="s">
        <v>5</v>
      </c>
      <c r="D10" s="265"/>
      <c r="E10" s="267">
        <v>11</v>
      </c>
      <c r="F10" s="269">
        <v>3</v>
      </c>
      <c r="G10" s="265"/>
      <c r="H10" s="271">
        <f>8</f>
        <v>8</v>
      </c>
      <c r="I10" s="269">
        <f>13</f>
        <v>13</v>
      </c>
      <c r="J10" s="253">
        <f t="shared" si="0"/>
        <v>21</v>
      </c>
    </row>
    <row r="11" spans="1:10" ht="18" x14ac:dyDescent="0.25">
      <c r="A11" s="54">
        <v>7</v>
      </c>
      <c r="B11" s="170" t="s">
        <v>126</v>
      </c>
      <c r="C11" s="217">
        <v>10</v>
      </c>
      <c r="D11" s="318"/>
      <c r="E11" s="250">
        <v>6</v>
      </c>
      <c r="F11" s="251">
        <v>8</v>
      </c>
      <c r="G11" s="318"/>
      <c r="H11" s="252">
        <f>10.5</f>
        <v>10.5</v>
      </c>
      <c r="I11" s="251">
        <f>9.5</f>
        <v>9.5</v>
      </c>
      <c r="J11" s="253">
        <f t="shared" si="0"/>
        <v>20</v>
      </c>
    </row>
    <row r="12" spans="1:10" ht="18" x14ac:dyDescent="0.25">
      <c r="A12" s="54">
        <v>8</v>
      </c>
      <c r="B12" s="218" t="s">
        <v>11</v>
      </c>
      <c r="C12" s="219">
        <v>10</v>
      </c>
      <c r="D12" s="248"/>
      <c r="E12" s="250">
        <v>9</v>
      </c>
      <c r="F12" s="251">
        <v>7</v>
      </c>
      <c r="G12" s="248">
        <v>0.5</v>
      </c>
      <c r="H12" s="252">
        <f>9</f>
        <v>9</v>
      </c>
      <c r="I12" s="251">
        <f>10</f>
        <v>10</v>
      </c>
      <c r="J12" s="253">
        <f t="shared" si="0"/>
        <v>19.5</v>
      </c>
    </row>
    <row r="13" spans="1:10" ht="18" x14ac:dyDescent="0.25">
      <c r="A13" s="54">
        <v>9</v>
      </c>
      <c r="B13" s="168" t="s">
        <v>31</v>
      </c>
      <c r="C13" s="217">
        <v>7.5</v>
      </c>
      <c r="D13" s="248"/>
      <c r="E13" s="250">
        <v>7</v>
      </c>
      <c r="F13" s="251">
        <v>9</v>
      </c>
      <c r="G13" s="248"/>
      <c r="H13" s="252">
        <f>10</f>
        <v>10</v>
      </c>
      <c r="I13" s="251">
        <f>9</f>
        <v>9</v>
      </c>
      <c r="J13" s="253">
        <f t="shared" si="0"/>
        <v>19</v>
      </c>
    </row>
    <row r="14" spans="1:10" ht="18" x14ac:dyDescent="0.25">
      <c r="A14" s="54">
        <v>10</v>
      </c>
      <c r="B14" s="218" t="s">
        <v>275</v>
      </c>
      <c r="C14" s="215"/>
      <c r="D14" s="249"/>
      <c r="E14" s="250">
        <v>10</v>
      </c>
      <c r="F14" s="251">
        <v>11</v>
      </c>
      <c r="G14" s="249"/>
      <c r="H14" s="252">
        <f>8.5</f>
        <v>8.5</v>
      </c>
      <c r="I14" s="251">
        <v>8</v>
      </c>
      <c r="J14" s="253">
        <f t="shared" si="0"/>
        <v>16.5</v>
      </c>
    </row>
    <row r="15" spans="1:10" ht="18" x14ac:dyDescent="0.25">
      <c r="A15" s="54">
        <v>11</v>
      </c>
      <c r="B15" s="168" t="s">
        <v>29</v>
      </c>
      <c r="C15" s="219"/>
      <c r="D15" s="265"/>
      <c r="E15" s="267">
        <v>8</v>
      </c>
      <c r="F15" s="269">
        <v>10</v>
      </c>
      <c r="G15" s="265">
        <v>1</v>
      </c>
      <c r="H15" s="271">
        <f>9.5+0.5</f>
        <v>10</v>
      </c>
      <c r="I15" s="269">
        <f>8.5-4</f>
        <v>4.5</v>
      </c>
      <c r="J15" s="253">
        <f t="shared" si="0"/>
        <v>15.5</v>
      </c>
    </row>
    <row r="16" spans="1:10" ht="18" hidden="1" x14ac:dyDescent="0.25">
      <c r="A16" s="54">
        <v>12</v>
      </c>
      <c r="B16" s="168"/>
      <c r="C16" s="215"/>
      <c r="D16" s="249"/>
      <c r="E16" s="250"/>
      <c r="F16" s="251"/>
      <c r="G16" s="249"/>
      <c r="H16" s="252"/>
      <c r="I16" s="251"/>
      <c r="J16" s="253">
        <f t="shared" ref="J16:J30" si="1">SUM(G16:I16)</f>
        <v>0</v>
      </c>
    </row>
    <row r="17" spans="1:33" ht="18" hidden="1" x14ac:dyDescent="0.25">
      <c r="A17" s="54">
        <v>13</v>
      </c>
      <c r="B17" s="168"/>
      <c r="C17" s="215"/>
      <c r="D17" s="87"/>
      <c r="E17" s="143"/>
      <c r="F17" s="144"/>
      <c r="G17" s="87"/>
      <c r="H17" s="94"/>
      <c r="I17" s="144"/>
      <c r="J17" s="89">
        <f t="shared" si="1"/>
        <v>0</v>
      </c>
    </row>
    <row r="18" spans="1:33" ht="18" hidden="1" x14ac:dyDescent="0.25">
      <c r="A18" s="54">
        <v>14</v>
      </c>
      <c r="B18" s="122"/>
      <c r="C18" s="175"/>
      <c r="D18" s="87"/>
      <c r="E18" s="142"/>
      <c r="F18" s="98"/>
      <c r="G18" s="87"/>
      <c r="H18" s="91"/>
      <c r="I18" s="98"/>
      <c r="J18" s="89">
        <f t="shared" si="1"/>
        <v>0</v>
      </c>
      <c r="O18" t="s">
        <v>263</v>
      </c>
    </row>
    <row r="19" spans="1:33" ht="18" hidden="1" x14ac:dyDescent="0.25">
      <c r="A19" s="54">
        <v>15</v>
      </c>
      <c r="B19" s="166"/>
      <c r="C19" s="173"/>
      <c r="D19" s="265"/>
      <c r="E19" s="267"/>
      <c r="F19" s="269"/>
      <c r="G19" s="265"/>
      <c r="H19" s="271"/>
      <c r="I19" s="269"/>
      <c r="J19" s="253">
        <f t="shared" si="1"/>
        <v>0</v>
      </c>
    </row>
    <row r="20" spans="1:33" ht="18" hidden="1" x14ac:dyDescent="0.25">
      <c r="A20" s="54">
        <v>16</v>
      </c>
      <c r="B20" s="216"/>
      <c r="C20" s="217"/>
      <c r="D20" s="150"/>
      <c r="E20" s="142"/>
      <c r="F20" s="98"/>
      <c r="G20" s="150"/>
      <c r="H20" s="91"/>
      <c r="I20" s="98"/>
      <c r="J20" s="89">
        <f t="shared" si="1"/>
        <v>0</v>
      </c>
    </row>
    <row r="21" spans="1:33" ht="18" hidden="1" x14ac:dyDescent="0.25">
      <c r="A21" s="54">
        <v>17</v>
      </c>
      <c r="B21" s="166"/>
      <c r="C21" s="176"/>
      <c r="D21" s="125"/>
      <c r="E21" s="142"/>
      <c r="F21" s="98"/>
      <c r="G21" s="87"/>
      <c r="H21" s="91"/>
      <c r="I21" s="98"/>
      <c r="J21" s="89">
        <f t="shared" si="1"/>
        <v>0</v>
      </c>
    </row>
    <row r="22" spans="1:33" ht="18" hidden="1" x14ac:dyDescent="0.25">
      <c r="A22" s="54">
        <v>18</v>
      </c>
      <c r="B22" s="218"/>
      <c r="C22" s="215"/>
      <c r="D22" s="87"/>
      <c r="E22" s="142"/>
      <c r="F22" s="98"/>
      <c r="G22" s="87"/>
      <c r="H22" s="91"/>
      <c r="I22" s="98"/>
      <c r="J22" s="89">
        <f t="shared" si="1"/>
        <v>0</v>
      </c>
    </row>
    <row r="23" spans="1:33" ht="18" hidden="1" x14ac:dyDescent="0.25">
      <c r="A23" s="54">
        <v>19</v>
      </c>
      <c r="B23" s="168"/>
      <c r="C23" s="221"/>
      <c r="D23" s="87"/>
      <c r="E23" s="142"/>
      <c r="F23" s="98"/>
      <c r="G23" s="87"/>
      <c r="H23" s="91"/>
      <c r="I23" s="98"/>
      <c r="J23" s="89">
        <f t="shared" si="1"/>
        <v>0</v>
      </c>
    </row>
    <row r="24" spans="1:33" ht="18" hidden="1" x14ac:dyDescent="0.25">
      <c r="A24" s="54">
        <v>20</v>
      </c>
      <c r="B24" s="166"/>
      <c r="C24" s="173"/>
      <c r="D24" s="249"/>
      <c r="E24" s="250"/>
      <c r="F24" s="251"/>
      <c r="G24" s="249"/>
      <c r="H24" s="252"/>
      <c r="I24" s="251"/>
      <c r="J24" s="253">
        <f t="shared" si="1"/>
        <v>0</v>
      </c>
      <c r="AG24" t="s">
        <v>263</v>
      </c>
    </row>
    <row r="25" spans="1:33" ht="18" hidden="1" x14ac:dyDescent="0.25">
      <c r="A25" s="54">
        <v>21</v>
      </c>
      <c r="B25" s="168"/>
      <c r="C25" s="173"/>
      <c r="D25" s="87"/>
      <c r="E25" s="142"/>
      <c r="F25" s="98"/>
      <c r="G25" s="87"/>
      <c r="H25" s="91"/>
      <c r="I25" s="98"/>
      <c r="J25" s="89">
        <f t="shared" si="1"/>
        <v>0</v>
      </c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si="1"/>
        <v>0</v>
      </c>
    </row>
    <row r="27" spans="1:33" ht="18" hidden="1" x14ac:dyDescent="0.25">
      <c r="A27" s="54">
        <v>23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1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1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1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ref="J31:J32" si="2">SUM(G31:I31)</f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2"/>
        <v>0</v>
      </c>
    </row>
  </sheetData>
  <sortState ref="B5:J15">
    <sortCondition descending="1" ref="J5:J15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C20" sqref="C2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276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329" t="s">
        <v>7</v>
      </c>
      <c r="C5" s="333" t="s">
        <v>5</v>
      </c>
      <c r="D5" s="334"/>
      <c r="E5" s="330">
        <v>5</v>
      </c>
      <c r="F5" s="331">
        <v>5</v>
      </c>
      <c r="G5" s="334">
        <v>2</v>
      </c>
      <c r="H5" s="332">
        <f>11+5.7+2</f>
        <v>18.7</v>
      </c>
      <c r="I5" s="331">
        <f>11+5.7+2.5</f>
        <v>19.2</v>
      </c>
      <c r="J5" s="317">
        <f t="shared" ref="J5:J25" si="0">SUM(G5:I5)</f>
        <v>39.9</v>
      </c>
    </row>
    <row r="6" spans="1:10" ht="18.75" thickBot="1" x14ac:dyDescent="0.3">
      <c r="A6" s="54">
        <v>2</v>
      </c>
      <c r="B6" s="285" t="s">
        <v>277</v>
      </c>
      <c r="C6" s="255">
        <v>17.5</v>
      </c>
      <c r="D6" s="335"/>
      <c r="E6" s="153">
        <v>1</v>
      </c>
      <c r="F6" s="101">
        <v>8</v>
      </c>
      <c r="G6" s="100">
        <v>1.5</v>
      </c>
      <c r="H6" s="115">
        <f>15+7.6+1.5</f>
        <v>24.1</v>
      </c>
      <c r="I6" s="101">
        <f>9.5+1.2</f>
        <v>10.7</v>
      </c>
      <c r="J6" s="186">
        <f t="shared" si="0"/>
        <v>36.299999999999997</v>
      </c>
    </row>
    <row r="7" spans="1:10" ht="18" x14ac:dyDescent="0.25">
      <c r="A7" s="54">
        <v>3</v>
      </c>
      <c r="B7" s="286" t="s">
        <v>31</v>
      </c>
      <c r="C7" s="288"/>
      <c r="D7" s="336"/>
      <c r="E7" s="330">
        <v>7</v>
      </c>
      <c r="F7" s="331">
        <v>10</v>
      </c>
      <c r="G7" s="336">
        <v>2.5</v>
      </c>
      <c r="H7" s="332">
        <f>10+4.9+2.5</f>
        <v>17.399999999999999</v>
      </c>
      <c r="I7" s="331">
        <f>8.5+1.3</f>
        <v>9.8000000000000007</v>
      </c>
      <c r="J7" s="317">
        <f t="shared" si="0"/>
        <v>29.7</v>
      </c>
    </row>
    <row r="8" spans="1:10" ht="18" x14ac:dyDescent="0.25">
      <c r="A8" s="54">
        <v>4</v>
      </c>
      <c r="B8" s="172" t="s">
        <v>179</v>
      </c>
      <c r="C8" s="217">
        <v>5</v>
      </c>
      <c r="D8" s="265"/>
      <c r="E8" s="250">
        <v>2</v>
      </c>
      <c r="F8" s="251">
        <v>7</v>
      </c>
      <c r="G8" s="265">
        <v>1</v>
      </c>
      <c r="H8" s="252">
        <f>14+5.7+1</f>
        <v>20.7</v>
      </c>
      <c r="I8" s="319">
        <f>10+1.2-4</f>
        <v>7.1999999999999993</v>
      </c>
      <c r="J8" s="253">
        <f t="shared" si="0"/>
        <v>28.9</v>
      </c>
    </row>
    <row r="9" spans="1:10" ht="18" x14ac:dyDescent="0.25">
      <c r="A9" s="54">
        <v>5</v>
      </c>
      <c r="B9" s="216" t="s">
        <v>59</v>
      </c>
      <c r="C9" s="217">
        <v>7.5</v>
      </c>
      <c r="D9" s="249"/>
      <c r="E9" s="250">
        <v>1</v>
      </c>
      <c r="F9" s="251">
        <v>2</v>
      </c>
      <c r="G9" s="249"/>
      <c r="H9" s="252">
        <f>9+4.2</f>
        <v>13.2</v>
      </c>
      <c r="I9" s="251">
        <f>14+3.5+1.5-4</f>
        <v>15</v>
      </c>
      <c r="J9" s="253">
        <f t="shared" si="0"/>
        <v>28.2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265"/>
      <c r="E10" s="267">
        <v>8</v>
      </c>
      <c r="F10" s="269">
        <v>3</v>
      </c>
      <c r="G10" s="265">
        <v>0.5</v>
      </c>
      <c r="H10" s="271">
        <f>9.5+0.5</f>
        <v>10</v>
      </c>
      <c r="I10" s="269">
        <f>13+3.8+0.5</f>
        <v>17.3</v>
      </c>
      <c r="J10" s="253">
        <f t="shared" si="0"/>
        <v>27.8</v>
      </c>
    </row>
    <row r="11" spans="1:10" ht="18" x14ac:dyDescent="0.25">
      <c r="A11" s="54">
        <v>7</v>
      </c>
      <c r="B11" s="168" t="s">
        <v>278</v>
      </c>
      <c r="C11" s="219">
        <v>5</v>
      </c>
      <c r="D11" s="87"/>
      <c r="E11" s="142">
        <v>4</v>
      </c>
      <c r="F11" s="98">
        <v>1</v>
      </c>
      <c r="G11" s="87"/>
      <c r="H11" s="91">
        <f>12+0.9-4</f>
        <v>8.9</v>
      </c>
      <c r="I11" s="98">
        <f>15+2.2+2-4</f>
        <v>15.2</v>
      </c>
      <c r="J11" s="89">
        <f t="shared" si="0"/>
        <v>24.1</v>
      </c>
    </row>
    <row r="12" spans="1:10" ht="18" x14ac:dyDescent="0.25">
      <c r="A12" s="54">
        <v>8</v>
      </c>
      <c r="B12" s="166" t="s">
        <v>26</v>
      </c>
      <c r="C12" s="173">
        <v>2.5</v>
      </c>
      <c r="D12" s="249"/>
      <c r="E12" s="268">
        <v>3</v>
      </c>
      <c r="F12" s="270">
        <v>6</v>
      </c>
      <c r="G12" s="249"/>
      <c r="H12" s="272">
        <f>13</f>
        <v>13</v>
      </c>
      <c r="I12" s="270">
        <f>10.5</f>
        <v>10.5</v>
      </c>
      <c r="J12" s="253">
        <f t="shared" si="0"/>
        <v>23.5</v>
      </c>
    </row>
    <row r="13" spans="1:10" ht="18" x14ac:dyDescent="0.25">
      <c r="A13" s="54">
        <v>9</v>
      </c>
      <c r="B13" s="218" t="s">
        <v>170</v>
      </c>
      <c r="C13" s="215" t="s">
        <v>5</v>
      </c>
      <c r="D13" s="249"/>
      <c r="E13" s="250">
        <v>9</v>
      </c>
      <c r="F13" s="251">
        <v>1</v>
      </c>
      <c r="G13" s="249"/>
      <c r="H13" s="252">
        <f>9</f>
        <v>9</v>
      </c>
      <c r="I13" s="251">
        <f>9+5.6-4+1</f>
        <v>11.6</v>
      </c>
      <c r="J13" s="253">
        <f t="shared" si="0"/>
        <v>20.6</v>
      </c>
    </row>
    <row r="14" spans="1:10" ht="18" x14ac:dyDescent="0.25">
      <c r="A14" s="54">
        <v>10</v>
      </c>
      <c r="B14" s="168" t="s">
        <v>29</v>
      </c>
      <c r="C14" s="173"/>
      <c r="D14" s="87"/>
      <c r="E14" s="142">
        <v>3</v>
      </c>
      <c r="F14" s="98">
        <v>4</v>
      </c>
      <c r="G14" s="87"/>
      <c r="H14" s="91">
        <f>7+4.2</f>
        <v>11.2</v>
      </c>
      <c r="I14" s="98">
        <f>12-4</f>
        <v>8</v>
      </c>
      <c r="J14" s="89">
        <f t="shared" si="0"/>
        <v>19.2</v>
      </c>
    </row>
    <row r="15" spans="1:10" ht="18" x14ac:dyDescent="0.25">
      <c r="A15" s="54">
        <v>11</v>
      </c>
      <c r="B15" s="218" t="s">
        <v>62</v>
      </c>
      <c r="C15" s="219"/>
      <c r="D15" s="249"/>
      <c r="E15" s="250">
        <v>5</v>
      </c>
      <c r="F15" s="251">
        <v>3</v>
      </c>
      <c r="G15" s="249"/>
      <c r="H15" s="252">
        <f>5+3.5</f>
        <v>8.5</v>
      </c>
      <c r="I15" s="251">
        <f>7+3.5</f>
        <v>10.5</v>
      </c>
      <c r="J15" s="253">
        <f t="shared" si="0"/>
        <v>19</v>
      </c>
    </row>
    <row r="16" spans="1:10" ht="18" x14ac:dyDescent="0.25">
      <c r="A16" s="54">
        <v>12</v>
      </c>
      <c r="B16" s="218" t="s">
        <v>213</v>
      </c>
      <c r="C16" s="215">
        <v>7.5</v>
      </c>
      <c r="D16" s="265"/>
      <c r="E16" s="267">
        <v>11</v>
      </c>
      <c r="F16" s="269">
        <v>11</v>
      </c>
      <c r="G16" s="265"/>
      <c r="H16" s="271">
        <f>8</f>
        <v>8</v>
      </c>
      <c r="I16" s="269">
        <f>8</f>
        <v>8</v>
      </c>
      <c r="J16" s="253">
        <f t="shared" si="0"/>
        <v>16</v>
      </c>
    </row>
    <row r="17" spans="1:33" ht="18" x14ac:dyDescent="0.25">
      <c r="A17" s="54">
        <v>13</v>
      </c>
      <c r="B17" s="170" t="s">
        <v>134</v>
      </c>
      <c r="C17" s="217" t="s">
        <v>5</v>
      </c>
      <c r="D17" s="87"/>
      <c r="E17" s="143">
        <v>6</v>
      </c>
      <c r="F17" s="144">
        <v>9</v>
      </c>
      <c r="G17" s="87"/>
      <c r="H17" s="94">
        <f>10.5</f>
        <v>10.5</v>
      </c>
      <c r="I17" s="144">
        <f>9-4</f>
        <v>5</v>
      </c>
      <c r="J17" s="89">
        <f t="shared" si="0"/>
        <v>15.5</v>
      </c>
    </row>
    <row r="18" spans="1:33" ht="18" x14ac:dyDescent="0.25">
      <c r="A18" s="54">
        <v>14</v>
      </c>
      <c r="B18" s="122" t="s">
        <v>126</v>
      </c>
      <c r="C18" s="175">
        <v>10</v>
      </c>
      <c r="D18" s="150"/>
      <c r="E18" s="142">
        <v>2</v>
      </c>
      <c r="F18" s="98">
        <v>5</v>
      </c>
      <c r="G18" s="150"/>
      <c r="H18" s="91">
        <f>8+0.7</f>
        <v>8.6999999999999993</v>
      </c>
      <c r="I18" s="98">
        <f>5</f>
        <v>5</v>
      </c>
      <c r="J18" s="89">
        <f t="shared" si="0"/>
        <v>13.7</v>
      </c>
      <c r="O18" t="s">
        <v>263</v>
      </c>
    </row>
    <row r="19" spans="1:33" ht="18" x14ac:dyDescent="0.25">
      <c r="A19" s="54">
        <v>15</v>
      </c>
      <c r="B19" s="218" t="s">
        <v>281</v>
      </c>
      <c r="C19" s="215" t="s">
        <v>5</v>
      </c>
      <c r="D19" s="248"/>
      <c r="E19" s="250">
        <v>4</v>
      </c>
      <c r="F19" s="251">
        <v>7</v>
      </c>
      <c r="G19" s="248"/>
      <c r="H19" s="252">
        <f>6+1.4</f>
        <v>7.4</v>
      </c>
      <c r="I19" s="251">
        <f>4+2.1</f>
        <v>6.1</v>
      </c>
      <c r="J19" s="253">
        <f t="shared" si="0"/>
        <v>13.5</v>
      </c>
    </row>
    <row r="20" spans="1:33" ht="18" x14ac:dyDescent="0.25">
      <c r="A20" s="54">
        <v>16</v>
      </c>
      <c r="B20" s="168" t="s">
        <v>197</v>
      </c>
      <c r="C20" s="215">
        <v>20</v>
      </c>
      <c r="D20" s="265"/>
      <c r="E20" s="267">
        <v>10</v>
      </c>
      <c r="F20" s="269">
        <v>4</v>
      </c>
      <c r="G20" s="265"/>
      <c r="H20" s="271">
        <f>8.5</f>
        <v>8.5</v>
      </c>
      <c r="I20" s="269">
        <f>6+1.4-4</f>
        <v>3.4000000000000004</v>
      </c>
      <c r="J20" s="253">
        <f t="shared" si="0"/>
        <v>11.9</v>
      </c>
    </row>
    <row r="21" spans="1:33" ht="18" x14ac:dyDescent="0.25">
      <c r="A21" s="54">
        <v>17</v>
      </c>
      <c r="B21" s="218" t="s">
        <v>272</v>
      </c>
      <c r="C21" s="215" t="s">
        <v>5</v>
      </c>
      <c r="D21" s="87"/>
      <c r="E21" s="142">
        <v>10</v>
      </c>
      <c r="F21" s="98">
        <v>2</v>
      </c>
      <c r="G21" s="87"/>
      <c r="H21" s="91">
        <f>2.5</f>
        <v>2.5</v>
      </c>
      <c r="I21" s="98">
        <f>8+0.7</f>
        <v>8.6999999999999993</v>
      </c>
      <c r="J21" s="89">
        <f t="shared" si="0"/>
        <v>11.2</v>
      </c>
    </row>
    <row r="22" spans="1:33" ht="18" x14ac:dyDescent="0.25">
      <c r="A22" s="54">
        <v>18</v>
      </c>
      <c r="B22" s="168" t="s">
        <v>270</v>
      </c>
      <c r="C22" s="221"/>
      <c r="D22" s="249"/>
      <c r="E22" s="267">
        <v>6</v>
      </c>
      <c r="F22" s="269">
        <v>6</v>
      </c>
      <c r="G22" s="249"/>
      <c r="H22" s="271">
        <f>4.5+1.4</f>
        <v>5.9</v>
      </c>
      <c r="I22" s="269">
        <f>4.5</f>
        <v>4.5</v>
      </c>
      <c r="J22" s="253">
        <f t="shared" si="0"/>
        <v>10.4</v>
      </c>
    </row>
    <row r="23" spans="1:33" ht="18" x14ac:dyDescent="0.25">
      <c r="A23" s="54">
        <v>19</v>
      </c>
      <c r="B23" s="216" t="s">
        <v>161</v>
      </c>
      <c r="C23" s="217" t="s">
        <v>5</v>
      </c>
      <c r="D23" s="249"/>
      <c r="E23" s="250">
        <v>7</v>
      </c>
      <c r="F23" s="251">
        <v>8</v>
      </c>
      <c r="G23" s="249"/>
      <c r="H23" s="252">
        <f>4</f>
        <v>4</v>
      </c>
      <c r="I23" s="251">
        <f>3.5</f>
        <v>3.5</v>
      </c>
      <c r="J23" s="253">
        <f t="shared" si="0"/>
        <v>7.5</v>
      </c>
    </row>
    <row r="24" spans="1:33" ht="18" x14ac:dyDescent="0.25">
      <c r="A24" s="54">
        <v>20</v>
      </c>
      <c r="B24" s="168" t="s">
        <v>280</v>
      </c>
      <c r="C24" s="217">
        <v>17.5</v>
      </c>
      <c r="D24" s="87"/>
      <c r="E24" s="142">
        <v>9</v>
      </c>
      <c r="F24" s="98">
        <v>9</v>
      </c>
      <c r="G24" s="87"/>
      <c r="H24" s="91">
        <f>3</f>
        <v>3</v>
      </c>
      <c r="I24" s="98">
        <f>3</f>
        <v>3</v>
      </c>
      <c r="J24" s="89">
        <f t="shared" si="0"/>
        <v>6</v>
      </c>
      <c r="AG24" t="s">
        <v>263</v>
      </c>
    </row>
    <row r="25" spans="1:33" ht="18" x14ac:dyDescent="0.25">
      <c r="A25" s="54">
        <v>21</v>
      </c>
      <c r="B25" s="166" t="s">
        <v>279</v>
      </c>
      <c r="C25" s="176"/>
      <c r="D25" s="249"/>
      <c r="E25" s="268">
        <v>8</v>
      </c>
      <c r="F25" s="270">
        <v>10</v>
      </c>
      <c r="G25" s="249"/>
      <c r="H25" s="272">
        <f>3.5-4</f>
        <v>-0.5</v>
      </c>
      <c r="I25" s="270">
        <f>2.5</f>
        <v>2.5</v>
      </c>
      <c r="J25" s="253">
        <f t="shared" si="0"/>
        <v>2</v>
      </c>
    </row>
    <row r="26" spans="1:33" ht="18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ref="J26:J32" si="1">SUM(G26:I26)</f>
        <v>0</v>
      </c>
    </row>
    <row r="27" spans="1:33" ht="18" hidden="1" x14ac:dyDescent="0.25">
      <c r="A27" s="54" t="s">
        <v>263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1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1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1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25">
    <sortCondition descending="1" ref="J5:J1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A20" sqref="A20:XFD2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82" t="s">
        <v>282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0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0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0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0" ht="18" x14ac:dyDescent="0.25">
      <c r="A5" s="131">
        <v>1</v>
      </c>
      <c r="B5" s="204" t="s">
        <v>6</v>
      </c>
      <c r="C5" s="208" t="s">
        <v>5</v>
      </c>
      <c r="D5" s="363"/>
      <c r="E5" s="213">
        <v>5</v>
      </c>
      <c r="F5" s="206">
        <v>6</v>
      </c>
      <c r="G5" s="363">
        <v>2</v>
      </c>
      <c r="H5" s="205">
        <f>12+5.7+2.5</f>
        <v>20.2</v>
      </c>
      <c r="I5" s="206">
        <f>11.5+6+2.5</f>
        <v>20</v>
      </c>
      <c r="J5" s="212">
        <f t="shared" ref="J5:J25" si="0">SUM(G5:I5)</f>
        <v>42.2</v>
      </c>
    </row>
    <row r="6" spans="1:10" ht="18.75" thickBot="1" x14ac:dyDescent="0.3">
      <c r="A6" s="54">
        <v>2</v>
      </c>
      <c r="B6" s="364" t="s">
        <v>7</v>
      </c>
      <c r="C6" s="297" t="s">
        <v>5</v>
      </c>
      <c r="D6" s="365"/>
      <c r="E6" s="366">
        <v>6</v>
      </c>
      <c r="F6" s="367">
        <v>11</v>
      </c>
      <c r="G6" s="365">
        <v>2.5</v>
      </c>
      <c r="H6" s="368">
        <f>11.5+6+1.5</f>
        <v>19</v>
      </c>
      <c r="I6" s="367">
        <f>9+1.5</f>
        <v>10.5</v>
      </c>
      <c r="J6" s="281">
        <f t="shared" si="0"/>
        <v>32</v>
      </c>
    </row>
    <row r="7" spans="1:10" ht="18" x14ac:dyDescent="0.25">
      <c r="A7" s="54">
        <v>3</v>
      </c>
      <c r="B7" s="264" t="s">
        <v>168</v>
      </c>
      <c r="C7" s="282">
        <v>22.5</v>
      </c>
      <c r="D7" s="313"/>
      <c r="E7" s="330">
        <v>1</v>
      </c>
      <c r="F7" s="331">
        <v>2</v>
      </c>
      <c r="G7" s="313"/>
      <c r="H7" s="332">
        <f>16+0.7</f>
        <v>16.7</v>
      </c>
      <c r="I7" s="331">
        <f>15</f>
        <v>15</v>
      </c>
      <c r="J7" s="317">
        <f t="shared" si="0"/>
        <v>31.7</v>
      </c>
    </row>
    <row r="8" spans="1:10" ht="18" x14ac:dyDescent="0.25">
      <c r="A8" s="54">
        <v>4</v>
      </c>
      <c r="B8" s="369" t="s">
        <v>291</v>
      </c>
      <c r="C8" s="370" t="s">
        <v>5</v>
      </c>
      <c r="D8" s="309"/>
      <c r="E8" s="310">
        <v>2</v>
      </c>
      <c r="F8" s="197">
        <v>4</v>
      </c>
      <c r="G8" s="309">
        <v>0.5</v>
      </c>
      <c r="H8" s="311">
        <f>15+4.5-4+2</f>
        <v>17.5</v>
      </c>
      <c r="I8" s="371">
        <f>13+6.6-4-4+2</f>
        <v>13.600000000000001</v>
      </c>
      <c r="J8" s="312">
        <f t="shared" si="0"/>
        <v>31.6</v>
      </c>
    </row>
    <row r="9" spans="1:10" ht="18" x14ac:dyDescent="0.25">
      <c r="A9" s="54">
        <v>5</v>
      </c>
      <c r="B9" s="218" t="s">
        <v>295</v>
      </c>
      <c r="C9" s="215" t="s">
        <v>5</v>
      </c>
      <c r="D9" s="249"/>
      <c r="E9" s="250">
        <v>2</v>
      </c>
      <c r="F9" s="251">
        <v>3</v>
      </c>
      <c r="G9" s="249"/>
      <c r="H9" s="252">
        <f>9+4.9</f>
        <v>13.9</v>
      </c>
      <c r="I9" s="251">
        <f>14+0.8</f>
        <v>14.8</v>
      </c>
      <c r="J9" s="253">
        <f t="shared" si="0"/>
        <v>28.700000000000003</v>
      </c>
    </row>
    <row r="10" spans="1:10" ht="18" x14ac:dyDescent="0.25">
      <c r="A10" s="54">
        <v>6</v>
      </c>
      <c r="B10" s="168" t="s">
        <v>29</v>
      </c>
      <c r="C10" s="215">
        <v>2.5</v>
      </c>
      <c r="D10" s="249"/>
      <c r="E10" s="267">
        <v>3</v>
      </c>
      <c r="F10" s="269">
        <v>5</v>
      </c>
      <c r="G10" s="249"/>
      <c r="H10" s="271">
        <f>14+1.7</f>
        <v>15.7</v>
      </c>
      <c r="I10" s="269">
        <f>12</f>
        <v>12</v>
      </c>
      <c r="J10" s="253">
        <f t="shared" si="0"/>
        <v>27.7</v>
      </c>
    </row>
    <row r="11" spans="1:10" ht="18" x14ac:dyDescent="0.25">
      <c r="A11" s="54">
        <v>7</v>
      </c>
      <c r="B11" s="168" t="s">
        <v>20</v>
      </c>
      <c r="C11" s="173" t="s">
        <v>5</v>
      </c>
      <c r="D11" s="248"/>
      <c r="E11" s="250">
        <v>8</v>
      </c>
      <c r="F11" s="251">
        <v>1</v>
      </c>
      <c r="G11" s="248"/>
      <c r="H11" s="252">
        <v>10.5</v>
      </c>
      <c r="I11" s="251">
        <f>16+3.1-4+0.5</f>
        <v>15.600000000000001</v>
      </c>
      <c r="J11" s="253">
        <f t="shared" si="0"/>
        <v>26.1</v>
      </c>
    </row>
    <row r="12" spans="1:10" ht="18" x14ac:dyDescent="0.25">
      <c r="A12" s="54">
        <v>8</v>
      </c>
      <c r="B12" s="216" t="s">
        <v>59</v>
      </c>
      <c r="C12" s="217"/>
      <c r="D12" s="265"/>
      <c r="E12" s="267">
        <v>4</v>
      </c>
      <c r="F12" s="269">
        <v>1</v>
      </c>
      <c r="G12" s="265"/>
      <c r="H12" s="271">
        <v>13</v>
      </c>
      <c r="I12" s="269">
        <f>10+6.3-2-4</f>
        <v>10.3</v>
      </c>
      <c r="J12" s="253">
        <f t="shared" si="0"/>
        <v>23.3</v>
      </c>
    </row>
    <row r="13" spans="1:10" ht="18" x14ac:dyDescent="0.25">
      <c r="A13" s="54">
        <v>9</v>
      </c>
      <c r="B13" s="218" t="s">
        <v>25</v>
      </c>
      <c r="C13" s="219">
        <v>15</v>
      </c>
      <c r="D13" s="125"/>
      <c r="E13" s="142">
        <v>10</v>
      </c>
      <c r="F13" s="98">
        <v>8</v>
      </c>
      <c r="G13" s="87">
        <v>1</v>
      </c>
      <c r="H13" s="91">
        <f>9.5+1</f>
        <v>10.5</v>
      </c>
      <c r="I13" s="98">
        <f>10.5</f>
        <v>10.5</v>
      </c>
      <c r="J13" s="89">
        <f t="shared" si="0"/>
        <v>22</v>
      </c>
    </row>
    <row r="14" spans="1:10" ht="18" x14ac:dyDescent="0.25">
      <c r="A14" s="54">
        <v>10</v>
      </c>
      <c r="B14" s="218" t="s">
        <v>31</v>
      </c>
      <c r="C14" s="215">
        <v>7.5</v>
      </c>
      <c r="D14" s="249"/>
      <c r="E14" s="250">
        <v>11</v>
      </c>
      <c r="F14" s="251">
        <v>9</v>
      </c>
      <c r="G14" s="249">
        <v>1.5</v>
      </c>
      <c r="H14" s="252">
        <f>9+0.5</f>
        <v>9.5</v>
      </c>
      <c r="I14" s="251">
        <f>10+1</f>
        <v>11</v>
      </c>
      <c r="J14" s="253">
        <f t="shared" si="0"/>
        <v>22</v>
      </c>
    </row>
    <row r="15" spans="1:10" ht="18" x14ac:dyDescent="0.25">
      <c r="A15" s="54">
        <v>11</v>
      </c>
      <c r="B15" s="168" t="s">
        <v>126</v>
      </c>
      <c r="C15" s="215">
        <v>10</v>
      </c>
      <c r="D15" s="265"/>
      <c r="E15" s="267">
        <v>1</v>
      </c>
      <c r="F15" s="269">
        <v>4</v>
      </c>
      <c r="G15" s="265"/>
      <c r="H15" s="271">
        <f>10+2.1</f>
        <v>12.1</v>
      </c>
      <c r="I15" s="269">
        <f>7+2.1</f>
        <v>9.1</v>
      </c>
      <c r="J15" s="253">
        <f t="shared" si="0"/>
        <v>21.2</v>
      </c>
    </row>
    <row r="16" spans="1:10" ht="18" x14ac:dyDescent="0.25">
      <c r="A16" s="54">
        <v>12</v>
      </c>
      <c r="B16" s="168" t="s">
        <v>296</v>
      </c>
      <c r="C16" s="221" t="s">
        <v>5</v>
      </c>
      <c r="D16" s="87"/>
      <c r="E16" s="142">
        <v>9</v>
      </c>
      <c r="F16" s="98">
        <v>7</v>
      </c>
      <c r="G16" s="87"/>
      <c r="H16" s="91">
        <v>10</v>
      </c>
      <c r="I16" s="98">
        <f>11</f>
        <v>11</v>
      </c>
      <c r="J16" s="89">
        <f t="shared" si="0"/>
        <v>21</v>
      </c>
    </row>
    <row r="17" spans="1:33" ht="18" x14ac:dyDescent="0.25">
      <c r="A17" s="54">
        <v>13</v>
      </c>
      <c r="B17" s="166" t="s">
        <v>268</v>
      </c>
      <c r="C17" s="176" t="s">
        <v>5</v>
      </c>
      <c r="D17" s="249"/>
      <c r="E17" s="268">
        <v>7</v>
      </c>
      <c r="F17" s="270">
        <v>10</v>
      </c>
      <c r="G17" s="249"/>
      <c r="H17" s="272">
        <v>11</v>
      </c>
      <c r="I17" s="270">
        <f>9.5</f>
        <v>9.5</v>
      </c>
      <c r="J17" s="253">
        <f t="shared" si="0"/>
        <v>20.5</v>
      </c>
    </row>
    <row r="18" spans="1:33" ht="18" x14ac:dyDescent="0.25">
      <c r="A18" s="54">
        <v>14</v>
      </c>
      <c r="B18" s="216" t="s">
        <v>26</v>
      </c>
      <c r="C18" s="219" t="s">
        <v>5</v>
      </c>
      <c r="D18" s="318"/>
      <c r="E18" s="250">
        <v>4</v>
      </c>
      <c r="F18" s="251">
        <v>6</v>
      </c>
      <c r="G18" s="318"/>
      <c r="H18" s="252">
        <f>7+4.2</f>
        <v>11.2</v>
      </c>
      <c r="I18" s="251">
        <f>5.5+1.4</f>
        <v>6.9</v>
      </c>
      <c r="J18" s="253">
        <f t="shared" si="0"/>
        <v>18.100000000000001</v>
      </c>
      <c r="O18" t="s">
        <v>263</v>
      </c>
    </row>
    <row r="19" spans="1:33" ht="18" x14ac:dyDescent="0.25">
      <c r="A19" s="54">
        <v>15</v>
      </c>
      <c r="B19" s="168" t="s">
        <v>272</v>
      </c>
      <c r="C19" s="217"/>
      <c r="D19" s="87"/>
      <c r="E19" s="142">
        <v>7</v>
      </c>
      <c r="F19" s="98">
        <v>5</v>
      </c>
      <c r="G19" s="87"/>
      <c r="H19" s="91">
        <f>5+0.7</f>
        <v>5.7</v>
      </c>
      <c r="I19" s="98">
        <f>6+2.8</f>
        <v>8.8000000000000007</v>
      </c>
      <c r="J19" s="89">
        <f t="shared" si="0"/>
        <v>14.5</v>
      </c>
    </row>
    <row r="20" spans="1:33" ht="18" x14ac:dyDescent="0.25">
      <c r="A20" s="54">
        <v>16</v>
      </c>
      <c r="B20" s="172" t="s">
        <v>161</v>
      </c>
      <c r="C20" s="217" t="s">
        <v>5</v>
      </c>
      <c r="D20" s="87"/>
      <c r="E20" s="143">
        <v>9</v>
      </c>
      <c r="F20" s="144">
        <v>3</v>
      </c>
      <c r="G20" s="87"/>
      <c r="H20" s="94">
        <f>4</f>
        <v>4</v>
      </c>
      <c r="I20" s="144">
        <f>8+1.4</f>
        <v>9.4</v>
      </c>
      <c r="J20" s="89">
        <f t="shared" si="0"/>
        <v>13.4</v>
      </c>
    </row>
    <row r="21" spans="1:33" ht="18" x14ac:dyDescent="0.25">
      <c r="A21" s="54">
        <v>17</v>
      </c>
      <c r="B21" s="218" t="s">
        <v>197</v>
      </c>
      <c r="C21" s="215">
        <v>20</v>
      </c>
      <c r="D21" s="150"/>
      <c r="E21" s="142">
        <v>8</v>
      </c>
      <c r="F21" s="98">
        <v>8</v>
      </c>
      <c r="G21" s="150"/>
      <c r="H21" s="91">
        <f>4.5</f>
        <v>4.5</v>
      </c>
      <c r="I21" s="98">
        <f>4.5</f>
        <v>4.5</v>
      </c>
      <c r="J21" s="89">
        <f t="shared" si="0"/>
        <v>9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3</v>
      </c>
      <c r="F22" s="98">
        <v>7</v>
      </c>
      <c r="G22" s="87"/>
      <c r="H22" s="91">
        <f>8+2.1</f>
        <v>10.1</v>
      </c>
      <c r="I22" s="98">
        <f>5-4-4</f>
        <v>-3</v>
      </c>
      <c r="J22" s="89">
        <f t="shared" si="0"/>
        <v>7.1</v>
      </c>
    </row>
    <row r="23" spans="1:33" ht="18" x14ac:dyDescent="0.25">
      <c r="A23" s="54">
        <v>19</v>
      </c>
      <c r="B23" s="170" t="s">
        <v>293</v>
      </c>
      <c r="C23" s="217"/>
      <c r="D23" s="265"/>
      <c r="E23" s="250">
        <v>10</v>
      </c>
      <c r="F23" s="251">
        <v>10</v>
      </c>
      <c r="G23" s="265"/>
      <c r="H23" s="252">
        <f>3.5</f>
        <v>3.5</v>
      </c>
      <c r="I23" s="251">
        <f>3.5</f>
        <v>3.5</v>
      </c>
      <c r="J23" s="253">
        <f t="shared" si="0"/>
        <v>7</v>
      </c>
    </row>
    <row r="24" spans="1:33" ht="18" x14ac:dyDescent="0.25">
      <c r="A24" s="54">
        <v>20</v>
      </c>
      <c r="B24" s="122" t="s">
        <v>294</v>
      </c>
      <c r="C24" s="175">
        <v>17.5</v>
      </c>
      <c r="D24" s="265"/>
      <c r="E24" s="267">
        <v>6</v>
      </c>
      <c r="F24" s="269">
        <v>9</v>
      </c>
      <c r="G24" s="265"/>
      <c r="H24" s="271">
        <f>5.5-4</f>
        <v>1.5</v>
      </c>
      <c r="I24" s="269">
        <f>4</f>
        <v>4</v>
      </c>
      <c r="J24" s="253">
        <f t="shared" si="0"/>
        <v>5.5</v>
      </c>
      <c r="AG24" t="s">
        <v>263</v>
      </c>
    </row>
    <row r="25" spans="1:33" ht="18" x14ac:dyDescent="0.25">
      <c r="A25" s="54">
        <v>21</v>
      </c>
      <c r="B25" s="168" t="s">
        <v>292</v>
      </c>
      <c r="C25" s="219">
        <v>5</v>
      </c>
      <c r="D25" s="249"/>
      <c r="E25" s="250">
        <v>5</v>
      </c>
      <c r="F25" s="251">
        <v>2</v>
      </c>
      <c r="G25" s="249"/>
      <c r="H25" s="252">
        <f>6-4-4-4-3</f>
        <v>-9</v>
      </c>
      <c r="I25" s="251">
        <f>9</f>
        <v>9</v>
      </c>
      <c r="J25" s="253">
        <f t="shared" si="0"/>
        <v>0</v>
      </c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ref="J26:J32" si="1">SUM(G26:I26)</f>
        <v>0</v>
      </c>
    </row>
    <row r="27" spans="1:33" ht="18" hidden="1" x14ac:dyDescent="0.25">
      <c r="A27" s="54" t="s">
        <v>263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1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1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1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A13:J14">
    <sortCondition ref="A13:A1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abSelected="1" zoomScale="70" zoomScaleNormal="70" workbookViewId="0">
      <selection sqref="A1:J2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3" x14ac:dyDescent="0.25">
      <c r="A1" s="382" t="s">
        <v>299</v>
      </c>
      <c r="B1" s="383"/>
      <c r="C1" s="383"/>
      <c r="D1" s="383"/>
      <c r="E1" s="383"/>
      <c r="F1" s="383"/>
      <c r="G1" s="383"/>
      <c r="H1" s="383"/>
      <c r="I1" s="383"/>
      <c r="J1" s="384"/>
    </row>
    <row r="2" spans="1:13" ht="15.75" thickBot="1" x14ac:dyDescent="0.3">
      <c r="A2" s="385"/>
      <c r="B2" s="373"/>
      <c r="C2" s="373"/>
      <c r="D2" s="373"/>
      <c r="E2" s="373"/>
      <c r="F2" s="373"/>
      <c r="G2" s="373"/>
      <c r="H2" s="373"/>
      <c r="I2" s="373"/>
      <c r="J2" s="386"/>
    </row>
    <row r="3" spans="1:13" ht="16.5" thickBot="1" x14ac:dyDescent="0.3">
      <c r="A3" s="374"/>
      <c r="B3" s="376" t="s">
        <v>0</v>
      </c>
      <c r="C3" s="389" t="s">
        <v>4</v>
      </c>
      <c r="D3" s="389" t="s">
        <v>1</v>
      </c>
      <c r="E3" s="387" t="s">
        <v>63</v>
      </c>
      <c r="F3" s="388"/>
      <c r="G3" s="379" t="s">
        <v>2</v>
      </c>
      <c r="H3" s="379"/>
      <c r="I3" s="379"/>
      <c r="J3" s="380" t="s">
        <v>3</v>
      </c>
    </row>
    <row r="4" spans="1:13" ht="16.5" thickBot="1" x14ac:dyDescent="0.3">
      <c r="A4" s="375"/>
      <c r="B4" s="377"/>
      <c r="C4" s="390"/>
      <c r="D4" s="390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81"/>
    </row>
    <row r="5" spans="1:13" ht="18" x14ac:dyDescent="0.25">
      <c r="A5" s="131">
        <v>1</v>
      </c>
      <c r="B5" s="412" t="s">
        <v>251</v>
      </c>
      <c r="C5" s="313">
        <v>7.5</v>
      </c>
      <c r="D5" s="326"/>
      <c r="E5" s="409">
        <v>3</v>
      </c>
      <c r="F5" s="331">
        <v>3</v>
      </c>
      <c r="G5" s="416">
        <v>2.5</v>
      </c>
      <c r="H5" s="330">
        <f>13+7.4+2.5</f>
        <v>22.9</v>
      </c>
      <c r="I5" s="331">
        <f>13+7.4+2.5</f>
        <v>22.9</v>
      </c>
      <c r="J5" s="317">
        <f>SUM(G5:I5)</f>
        <v>48.3</v>
      </c>
      <c r="K5">
        <v>4</v>
      </c>
      <c r="M5">
        <v>7</v>
      </c>
    </row>
    <row r="6" spans="1:13" ht="18" x14ac:dyDescent="0.25">
      <c r="A6" s="54">
        <v>2</v>
      </c>
      <c r="B6" s="413" t="s">
        <v>31</v>
      </c>
      <c r="C6" s="249">
        <v>7.5</v>
      </c>
      <c r="D6" s="252"/>
      <c r="E6" s="401">
        <v>2</v>
      </c>
      <c r="F6" s="270">
        <v>2</v>
      </c>
      <c r="G6" s="215">
        <v>0.5</v>
      </c>
      <c r="H6" s="268">
        <f>14+3.5+1</f>
        <v>18.5</v>
      </c>
      <c r="I6" s="270">
        <f>14+4.5+1.5</f>
        <v>20</v>
      </c>
      <c r="J6" s="253">
        <f>SUM(G6:I6)</f>
        <v>39</v>
      </c>
      <c r="K6">
        <v>3</v>
      </c>
      <c r="M6">
        <v>3</v>
      </c>
    </row>
    <row r="7" spans="1:13" ht="18" x14ac:dyDescent="0.25">
      <c r="A7" s="54">
        <v>3</v>
      </c>
      <c r="B7" s="414" t="s">
        <v>297</v>
      </c>
      <c r="C7" s="248">
        <v>15</v>
      </c>
      <c r="D7" s="272"/>
      <c r="E7" s="400">
        <v>9</v>
      </c>
      <c r="F7" s="269">
        <v>1</v>
      </c>
      <c r="G7" s="219">
        <v>2</v>
      </c>
      <c r="H7" s="267">
        <f>9</f>
        <v>9</v>
      </c>
      <c r="I7" s="269">
        <f>15+0.7+2</f>
        <v>17.7</v>
      </c>
      <c r="J7" s="253">
        <f>SUM(G7:I7)</f>
        <v>28.7</v>
      </c>
      <c r="K7">
        <v>1</v>
      </c>
      <c r="M7">
        <v>1</v>
      </c>
    </row>
    <row r="8" spans="1:13" ht="18" x14ac:dyDescent="0.25">
      <c r="A8" s="54">
        <v>4</v>
      </c>
      <c r="B8" s="77" t="s">
        <v>59</v>
      </c>
      <c r="C8" s="249">
        <v>7.5</v>
      </c>
      <c r="D8" s="252"/>
      <c r="E8" s="398">
        <v>1</v>
      </c>
      <c r="F8" s="251">
        <v>6</v>
      </c>
      <c r="G8" s="215"/>
      <c r="H8" s="250">
        <f>15+1.4+1.5</f>
        <v>17.899999999999999</v>
      </c>
      <c r="I8" s="251">
        <f>10.5+2.5-4+1</f>
        <v>10</v>
      </c>
      <c r="J8" s="253">
        <f>SUM(G8:I8)</f>
        <v>27.9</v>
      </c>
      <c r="K8">
        <v>6</v>
      </c>
      <c r="M8">
        <v>6</v>
      </c>
    </row>
    <row r="9" spans="1:13" ht="18" x14ac:dyDescent="0.25">
      <c r="A9" s="54">
        <v>5</v>
      </c>
      <c r="B9" s="413" t="s">
        <v>298</v>
      </c>
      <c r="C9" s="249">
        <v>10</v>
      </c>
      <c r="D9" s="252"/>
      <c r="E9" s="398">
        <v>6</v>
      </c>
      <c r="F9" s="251">
        <v>5</v>
      </c>
      <c r="G9" s="215">
        <v>1.5</v>
      </c>
      <c r="H9" s="250">
        <f>10.5+2.3</f>
        <v>12.8</v>
      </c>
      <c r="I9" s="251">
        <f>11</f>
        <v>11</v>
      </c>
      <c r="J9" s="253">
        <f>SUM(G9:I9)</f>
        <v>25.3</v>
      </c>
      <c r="K9">
        <v>2</v>
      </c>
      <c r="M9">
        <v>10</v>
      </c>
    </row>
    <row r="10" spans="1:13" ht="18" x14ac:dyDescent="0.25">
      <c r="A10" s="54">
        <v>6</v>
      </c>
      <c r="B10" s="413" t="s">
        <v>29</v>
      </c>
      <c r="C10" s="249">
        <v>2.5</v>
      </c>
      <c r="D10" s="252"/>
      <c r="E10" s="398">
        <v>5</v>
      </c>
      <c r="F10" s="251">
        <v>4</v>
      </c>
      <c r="G10" s="215"/>
      <c r="H10" s="250">
        <f>11</f>
        <v>11</v>
      </c>
      <c r="I10" s="251">
        <f>12+0.5</f>
        <v>12.5</v>
      </c>
      <c r="J10" s="253">
        <f>SUM(G10:I10)</f>
        <v>23.5</v>
      </c>
      <c r="K10">
        <v>5</v>
      </c>
      <c r="M10">
        <v>13</v>
      </c>
    </row>
    <row r="11" spans="1:13" ht="18" x14ac:dyDescent="0.25">
      <c r="A11" s="54">
        <v>7</v>
      </c>
      <c r="B11" s="77" t="s">
        <v>20</v>
      </c>
      <c r="C11" s="249" t="s">
        <v>5</v>
      </c>
      <c r="D11" s="271"/>
      <c r="E11" s="398">
        <v>4</v>
      </c>
      <c r="F11" s="251">
        <v>9</v>
      </c>
      <c r="G11" s="217"/>
      <c r="H11" s="250">
        <f>12+2</f>
        <v>14</v>
      </c>
      <c r="I11" s="251">
        <f>9</f>
        <v>9</v>
      </c>
      <c r="J11" s="253">
        <f>SUM(G11:I11)</f>
        <v>23</v>
      </c>
      <c r="K11">
        <v>9</v>
      </c>
      <c r="M11">
        <v>2</v>
      </c>
    </row>
    <row r="12" spans="1:13" ht="18" x14ac:dyDescent="0.25">
      <c r="A12" s="54">
        <v>8</v>
      </c>
      <c r="B12" s="414" t="s">
        <v>26</v>
      </c>
      <c r="C12" s="248">
        <v>2.5</v>
      </c>
      <c r="D12" s="252"/>
      <c r="E12" s="398">
        <v>7</v>
      </c>
      <c r="F12" s="251">
        <v>7</v>
      </c>
      <c r="G12" s="215"/>
      <c r="H12" s="250">
        <f>10+0.5</f>
        <v>10.5</v>
      </c>
      <c r="I12" s="251">
        <f>10</f>
        <v>10</v>
      </c>
      <c r="J12" s="253">
        <f>SUM(G12:I12)</f>
        <v>20.5</v>
      </c>
      <c r="K12">
        <v>8</v>
      </c>
      <c r="M12">
        <v>9</v>
      </c>
    </row>
    <row r="13" spans="1:13" ht="18" x14ac:dyDescent="0.25">
      <c r="A13" s="54">
        <v>9</v>
      </c>
      <c r="B13" s="77" t="s">
        <v>161</v>
      </c>
      <c r="C13" s="249" t="s">
        <v>5</v>
      </c>
      <c r="D13" s="252"/>
      <c r="E13" s="400">
        <v>8</v>
      </c>
      <c r="F13" s="269">
        <v>8</v>
      </c>
      <c r="G13" s="215"/>
      <c r="H13" s="267">
        <f>9.5</f>
        <v>9.5</v>
      </c>
      <c r="I13" s="269">
        <f>9.5</f>
        <v>9.5</v>
      </c>
      <c r="J13" s="253">
        <f>SUM(G13:I13)</f>
        <v>19</v>
      </c>
      <c r="K13">
        <v>7</v>
      </c>
      <c r="M13">
        <v>4</v>
      </c>
    </row>
    <row r="14" spans="1:13" ht="18.75" thickBot="1" x14ac:dyDescent="0.3">
      <c r="A14" s="411">
        <v>10</v>
      </c>
      <c r="B14" s="415" t="s">
        <v>257</v>
      </c>
      <c r="C14" s="417">
        <v>12.5</v>
      </c>
      <c r="D14" s="418"/>
      <c r="E14" s="410">
        <v>10</v>
      </c>
      <c r="F14" s="302">
        <v>10</v>
      </c>
      <c r="G14" s="255">
        <v>1</v>
      </c>
      <c r="H14" s="301">
        <f>8.5</f>
        <v>8.5</v>
      </c>
      <c r="I14" s="302">
        <f>8.5-4</f>
        <v>4.5</v>
      </c>
      <c r="J14" s="283">
        <f>SUM(G14:I14)</f>
        <v>14</v>
      </c>
      <c r="K14">
        <v>10</v>
      </c>
      <c r="M14">
        <v>5</v>
      </c>
    </row>
    <row r="15" spans="1:13" ht="18" hidden="1" x14ac:dyDescent="0.25">
      <c r="A15" s="402">
        <v>11</v>
      </c>
      <c r="B15" s="403"/>
      <c r="C15" s="404"/>
      <c r="D15" s="405"/>
      <c r="E15" s="406"/>
      <c r="F15" s="407"/>
      <c r="G15" s="405"/>
      <c r="H15" s="408"/>
      <c r="I15" s="407"/>
      <c r="J15" s="399"/>
    </row>
    <row r="16" spans="1:13" ht="18" hidden="1" x14ac:dyDescent="0.25">
      <c r="A16" s="54">
        <v>12</v>
      </c>
      <c r="B16" s="168"/>
      <c r="C16" s="221"/>
      <c r="D16" s="249"/>
      <c r="E16" s="250"/>
      <c r="F16" s="251"/>
      <c r="G16" s="249"/>
      <c r="H16" s="252"/>
      <c r="I16" s="251"/>
      <c r="J16" s="253"/>
    </row>
    <row r="17" spans="1:33" ht="18" hidden="1" x14ac:dyDescent="0.25">
      <c r="A17" s="54">
        <v>13</v>
      </c>
      <c r="B17" s="218"/>
      <c r="C17" s="221"/>
      <c r="D17" s="249"/>
      <c r="E17" s="268"/>
      <c r="F17" s="270"/>
      <c r="G17" s="249"/>
      <c r="H17" s="272"/>
      <c r="I17" s="270"/>
      <c r="J17" s="253"/>
    </row>
    <row r="18" spans="1:33" ht="18" hidden="1" x14ac:dyDescent="0.25">
      <c r="A18" s="54">
        <v>14</v>
      </c>
      <c r="B18" s="216"/>
      <c r="C18" s="219"/>
      <c r="D18" s="318"/>
      <c r="E18" s="250"/>
      <c r="F18" s="251"/>
      <c r="G18" s="318"/>
      <c r="H18" s="252"/>
      <c r="I18" s="251"/>
      <c r="J18" s="253"/>
      <c r="O18" t="s">
        <v>263</v>
      </c>
    </row>
    <row r="19" spans="1:33" ht="18" hidden="1" x14ac:dyDescent="0.25">
      <c r="A19" s="54">
        <v>15</v>
      </c>
      <c r="B19" s="168"/>
      <c r="C19" s="217"/>
      <c r="D19" s="249"/>
      <c r="E19" s="250"/>
      <c r="F19" s="251"/>
      <c r="G19" s="249"/>
      <c r="H19" s="252"/>
      <c r="I19" s="251"/>
      <c r="J19" s="253"/>
    </row>
    <row r="20" spans="1:33" ht="18" hidden="1" x14ac:dyDescent="0.25">
      <c r="A20" s="54">
        <v>16</v>
      </c>
      <c r="B20" s="172"/>
      <c r="C20" s="217"/>
      <c r="D20" s="249"/>
      <c r="E20" s="268"/>
      <c r="F20" s="270"/>
      <c r="G20" s="249"/>
      <c r="H20" s="272"/>
      <c r="I20" s="270"/>
      <c r="J20" s="253"/>
    </row>
    <row r="21" spans="1:33" ht="18" hidden="1" x14ac:dyDescent="0.25">
      <c r="A21" s="54">
        <v>17</v>
      </c>
      <c r="B21" s="218"/>
      <c r="C21" s="215"/>
      <c r="D21" s="248"/>
      <c r="E21" s="250"/>
      <c r="F21" s="251"/>
      <c r="G21" s="248"/>
      <c r="H21" s="252"/>
      <c r="I21" s="251"/>
      <c r="J21" s="253"/>
    </row>
    <row r="22" spans="1:33" ht="18" hidden="1" x14ac:dyDescent="0.25">
      <c r="A22" s="54">
        <v>18</v>
      </c>
      <c r="B22" s="218"/>
      <c r="C22" s="215"/>
      <c r="D22" s="249"/>
      <c r="E22" s="250"/>
      <c r="F22" s="251"/>
      <c r="G22" s="249"/>
      <c r="H22" s="252"/>
      <c r="I22" s="251"/>
      <c r="J22" s="253"/>
    </row>
    <row r="23" spans="1:33" ht="18" hidden="1" x14ac:dyDescent="0.25">
      <c r="A23" s="54">
        <v>19</v>
      </c>
      <c r="B23" s="170"/>
      <c r="C23" s="217"/>
      <c r="D23" s="265"/>
      <c r="E23" s="250"/>
      <c r="F23" s="251"/>
      <c r="G23" s="265"/>
      <c r="H23" s="252"/>
      <c r="I23" s="251"/>
      <c r="J23" s="253"/>
    </row>
    <row r="24" spans="1:33" ht="18" hidden="1" x14ac:dyDescent="0.25">
      <c r="A24" s="54">
        <v>20</v>
      </c>
      <c r="B24" s="216"/>
      <c r="C24" s="217"/>
      <c r="D24" s="265"/>
      <c r="E24" s="267"/>
      <c r="F24" s="269"/>
      <c r="G24" s="265"/>
      <c r="H24" s="271"/>
      <c r="I24" s="269"/>
      <c r="J24" s="253"/>
      <c r="AG24" t="s">
        <v>263</v>
      </c>
    </row>
    <row r="25" spans="1:33" ht="18" hidden="1" x14ac:dyDescent="0.25">
      <c r="A25" s="54">
        <v>21</v>
      </c>
      <c r="B25" s="168"/>
      <c r="C25" s="219"/>
      <c r="D25" s="249"/>
      <c r="E25" s="250"/>
      <c r="F25" s="251"/>
      <c r="G25" s="249"/>
      <c r="H25" s="252"/>
      <c r="I25" s="251"/>
      <c r="J25" s="253"/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ref="J5:J32" si="0">SUM(G26:I26)</f>
        <v>0</v>
      </c>
    </row>
    <row r="27" spans="1:33" ht="18" hidden="1" x14ac:dyDescent="0.25">
      <c r="A27" s="54" t="s">
        <v>263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0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0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0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0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sortState ref="B5:J14">
    <sortCondition descending="1" ref="J5:J1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64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8"/>
  <sheetViews>
    <sheetView topLeftCell="A3" workbookViewId="0">
      <selection activeCell="M27" sqref="M27:M28"/>
    </sheetView>
  </sheetViews>
  <sheetFormatPr defaultRowHeight="12.75" x14ac:dyDescent="0.2"/>
  <cols>
    <col min="1" max="4" width="4.7109375" style="238" customWidth="1"/>
    <col min="5" max="14" width="4.7109375" style="222" customWidth="1"/>
    <col min="15" max="15" width="2.7109375" style="222" customWidth="1"/>
    <col min="16" max="19" width="4.7109375" style="222" customWidth="1"/>
    <col min="20" max="20" width="2.42578125" style="222" customWidth="1"/>
    <col min="21" max="24" width="4.7109375" style="222" customWidth="1"/>
    <col min="25" max="25" width="2.42578125" style="222" customWidth="1"/>
    <col min="26" max="28" width="4.7109375" style="222" customWidth="1"/>
    <col min="29" max="29" width="2.42578125" style="222" customWidth="1"/>
    <col min="30" max="32" width="4.7109375" style="222" customWidth="1"/>
    <col min="33" max="33" width="2.140625" style="222" customWidth="1"/>
    <col min="34" max="36" width="4.7109375" style="222" customWidth="1"/>
    <col min="37" max="37" width="2.140625" style="222" customWidth="1"/>
    <col min="38" max="40" width="4.7109375" style="222" customWidth="1"/>
    <col min="41" max="255" width="9.140625" style="222"/>
    <col min="256" max="269" width="5.7109375" style="222" customWidth="1"/>
    <col min="270" max="511" width="9.140625" style="222"/>
    <col min="512" max="525" width="5.7109375" style="222" customWidth="1"/>
    <col min="526" max="767" width="9.140625" style="222"/>
    <col min="768" max="781" width="5.7109375" style="222" customWidth="1"/>
    <col min="782" max="1023" width="9.140625" style="222"/>
    <col min="1024" max="1037" width="5.7109375" style="222" customWidth="1"/>
    <col min="1038" max="1279" width="9.140625" style="222"/>
    <col min="1280" max="1293" width="5.7109375" style="222" customWidth="1"/>
    <col min="1294" max="1535" width="9.140625" style="222"/>
    <col min="1536" max="1549" width="5.7109375" style="222" customWidth="1"/>
    <col min="1550" max="1791" width="9.140625" style="222"/>
    <col min="1792" max="1805" width="5.7109375" style="222" customWidth="1"/>
    <col min="1806" max="2047" width="9.140625" style="222"/>
    <col min="2048" max="2061" width="5.7109375" style="222" customWidth="1"/>
    <col min="2062" max="2303" width="9.140625" style="222"/>
    <col min="2304" max="2317" width="5.7109375" style="222" customWidth="1"/>
    <col min="2318" max="2559" width="9.140625" style="222"/>
    <col min="2560" max="2573" width="5.7109375" style="222" customWidth="1"/>
    <col min="2574" max="2815" width="9.140625" style="222"/>
    <col min="2816" max="2829" width="5.7109375" style="222" customWidth="1"/>
    <col min="2830" max="3071" width="9.140625" style="222"/>
    <col min="3072" max="3085" width="5.7109375" style="222" customWidth="1"/>
    <col min="3086" max="3327" width="9.140625" style="222"/>
    <col min="3328" max="3341" width="5.7109375" style="222" customWidth="1"/>
    <col min="3342" max="3583" width="9.140625" style="222"/>
    <col min="3584" max="3597" width="5.7109375" style="222" customWidth="1"/>
    <col min="3598" max="3839" width="9.140625" style="222"/>
    <col min="3840" max="3853" width="5.7109375" style="222" customWidth="1"/>
    <col min="3854" max="4095" width="9.140625" style="222"/>
    <col min="4096" max="4109" width="5.7109375" style="222" customWidth="1"/>
    <col min="4110" max="4351" width="9.140625" style="222"/>
    <col min="4352" max="4365" width="5.7109375" style="222" customWidth="1"/>
    <col min="4366" max="4607" width="9.140625" style="222"/>
    <col min="4608" max="4621" width="5.7109375" style="222" customWidth="1"/>
    <col min="4622" max="4863" width="9.140625" style="222"/>
    <col min="4864" max="4877" width="5.7109375" style="222" customWidth="1"/>
    <col min="4878" max="5119" width="9.140625" style="222"/>
    <col min="5120" max="5133" width="5.7109375" style="222" customWidth="1"/>
    <col min="5134" max="5375" width="9.140625" style="222"/>
    <col min="5376" max="5389" width="5.7109375" style="222" customWidth="1"/>
    <col min="5390" max="5631" width="9.140625" style="222"/>
    <col min="5632" max="5645" width="5.7109375" style="222" customWidth="1"/>
    <col min="5646" max="5887" width="9.140625" style="222"/>
    <col min="5888" max="5901" width="5.7109375" style="222" customWidth="1"/>
    <col min="5902" max="6143" width="9.140625" style="222"/>
    <col min="6144" max="6157" width="5.7109375" style="222" customWidth="1"/>
    <col min="6158" max="6399" width="9.140625" style="222"/>
    <col min="6400" max="6413" width="5.7109375" style="222" customWidth="1"/>
    <col min="6414" max="6655" width="9.140625" style="222"/>
    <col min="6656" max="6669" width="5.7109375" style="222" customWidth="1"/>
    <col min="6670" max="6911" width="9.140625" style="222"/>
    <col min="6912" max="6925" width="5.7109375" style="222" customWidth="1"/>
    <col min="6926" max="7167" width="9.140625" style="222"/>
    <col min="7168" max="7181" width="5.7109375" style="222" customWidth="1"/>
    <col min="7182" max="7423" width="9.140625" style="222"/>
    <col min="7424" max="7437" width="5.7109375" style="222" customWidth="1"/>
    <col min="7438" max="7679" width="9.140625" style="222"/>
    <col min="7680" max="7693" width="5.7109375" style="222" customWidth="1"/>
    <col min="7694" max="7935" width="9.140625" style="222"/>
    <col min="7936" max="7949" width="5.7109375" style="222" customWidth="1"/>
    <col min="7950" max="8191" width="9.140625" style="222"/>
    <col min="8192" max="8205" width="5.7109375" style="222" customWidth="1"/>
    <col min="8206" max="8447" width="9.140625" style="222"/>
    <col min="8448" max="8461" width="5.7109375" style="222" customWidth="1"/>
    <col min="8462" max="8703" width="9.140625" style="222"/>
    <col min="8704" max="8717" width="5.7109375" style="222" customWidth="1"/>
    <col min="8718" max="8959" width="9.140625" style="222"/>
    <col min="8960" max="8973" width="5.7109375" style="222" customWidth="1"/>
    <col min="8974" max="9215" width="9.140625" style="222"/>
    <col min="9216" max="9229" width="5.7109375" style="222" customWidth="1"/>
    <col min="9230" max="9471" width="9.140625" style="222"/>
    <col min="9472" max="9485" width="5.7109375" style="222" customWidth="1"/>
    <col min="9486" max="9727" width="9.140625" style="222"/>
    <col min="9728" max="9741" width="5.7109375" style="222" customWidth="1"/>
    <col min="9742" max="9983" width="9.140625" style="222"/>
    <col min="9984" max="9997" width="5.7109375" style="222" customWidth="1"/>
    <col min="9998" max="10239" width="9.140625" style="222"/>
    <col min="10240" max="10253" width="5.7109375" style="222" customWidth="1"/>
    <col min="10254" max="10495" width="9.140625" style="222"/>
    <col min="10496" max="10509" width="5.7109375" style="222" customWidth="1"/>
    <col min="10510" max="10751" width="9.140625" style="222"/>
    <col min="10752" max="10765" width="5.7109375" style="222" customWidth="1"/>
    <col min="10766" max="11007" width="9.140625" style="222"/>
    <col min="11008" max="11021" width="5.7109375" style="222" customWidth="1"/>
    <col min="11022" max="11263" width="9.140625" style="222"/>
    <col min="11264" max="11277" width="5.7109375" style="222" customWidth="1"/>
    <col min="11278" max="11519" width="9.140625" style="222"/>
    <col min="11520" max="11533" width="5.7109375" style="222" customWidth="1"/>
    <col min="11534" max="11775" width="9.140625" style="222"/>
    <col min="11776" max="11789" width="5.7109375" style="222" customWidth="1"/>
    <col min="11790" max="12031" width="9.140625" style="222"/>
    <col min="12032" max="12045" width="5.7109375" style="222" customWidth="1"/>
    <col min="12046" max="12287" width="9.140625" style="222"/>
    <col min="12288" max="12301" width="5.7109375" style="222" customWidth="1"/>
    <col min="12302" max="12543" width="9.140625" style="222"/>
    <col min="12544" max="12557" width="5.7109375" style="222" customWidth="1"/>
    <col min="12558" max="12799" width="9.140625" style="222"/>
    <col min="12800" max="12813" width="5.7109375" style="222" customWidth="1"/>
    <col min="12814" max="13055" width="9.140625" style="222"/>
    <col min="13056" max="13069" width="5.7109375" style="222" customWidth="1"/>
    <col min="13070" max="13311" width="9.140625" style="222"/>
    <col min="13312" max="13325" width="5.7109375" style="222" customWidth="1"/>
    <col min="13326" max="13567" width="9.140625" style="222"/>
    <col min="13568" max="13581" width="5.7109375" style="222" customWidth="1"/>
    <col min="13582" max="13823" width="9.140625" style="222"/>
    <col min="13824" max="13837" width="5.7109375" style="222" customWidth="1"/>
    <col min="13838" max="14079" width="9.140625" style="222"/>
    <col min="14080" max="14093" width="5.7109375" style="222" customWidth="1"/>
    <col min="14094" max="14335" width="9.140625" style="222"/>
    <col min="14336" max="14349" width="5.7109375" style="222" customWidth="1"/>
    <col min="14350" max="14591" width="9.140625" style="222"/>
    <col min="14592" max="14605" width="5.7109375" style="222" customWidth="1"/>
    <col min="14606" max="14847" width="9.140625" style="222"/>
    <col min="14848" max="14861" width="5.7109375" style="222" customWidth="1"/>
    <col min="14862" max="15103" width="9.140625" style="222"/>
    <col min="15104" max="15117" width="5.7109375" style="222" customWidth="1"/>
    <col min="15118" max="15359" width="9.140625" style="222"/>
    <col min="15360" max="15373" width="5.7109375" style="222" customWidth="1"/>
    <col min="15374" max="15615" width="9.140625" style="222"/>
    <col min="15616" max="15629" width="5.7109375" style="222" customWidth="1"/>
    <col min="15630" max="15871" width="9.140625" style="222"/>
    <col min="15872" max="15885" width="5.7109375" style="222" customWidth="1"/>
    <col min="15886" max="16127" width="9.140625" style="222"/>
    <col min="16128" max="16141" width="5.7109375" style="222" customWidth="1"/>
    <col min="16142" max="16384" width="9.140625" style="222"/>
  </cols>
  <sheetData>
    <row r="1" spans="1:40" ht="15.75" customHeight="1" thickBot="1" x14ac:dyDescent="0.25">
      <c r="A1" s="391" t="s">
        <v>219</v>
      </c>
      <c r="B1" s="391"/>
      <c r="C1" s="391"/>
      <c r="D1" s="391"/>
      <c r="F1" s="391" t="s">
        <v>225</v>
      </c>
      <c r="G1" s="391"/>
      <c r="H1" s="391"/>
      <c r="I1" s="391"/>
      <c r="K1" s="391" t="s">
        <v>220</v>
      </c>
      <c r="L1" s="391"/>
      <c r="M1" s="391"/>
      <c r="N1" s="391"/>
      <c r="P1" s="391" t="s">
        <v>226</v>
      </c>
      <c r="Q1" s="391"/>
      <c r="R1" s="391"/>
      <c r="S1" s="391"/>
      <c r="U1" s="391" t="s">
        <v>221</v>
      </c>
      <c r="V1" s="391"/>
      <c r="W1" s="391"/>
      <c r="X1" s="391"/>
      <c r="Z1" s="391" t="s">
        <v>283</v>
      </c>
      <c r="AA1" s="391"/>
      <c r="AB1" s="391"/>
      <c r="AD1" s="391" t="s">
        <v>284</v>
      </c>
      <c r="AE1" s="391"/>
      <c r="AF1" s="391"/>
      <c r="AH1" s="391" t="s">
        <v>285</v>
      </c>
      <c r="AI1" s="391"/>
      <c r="AJ1" s="391"/>
      <c r="AL1" s="391" t="s">
        <v>286</v>
      </c>
      <c r="AM1" s="391"/>
      <c r="AN1" s="391"/>
    </row>
    <row r="2" spans="1:40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  <c r="P2" s="223"/>
      <c r="Q2" s="224" t="s">
        <v>222</v>
      </c>
      <c r="R2" s="224" t="s">
        <v>223</v>
      </c>
      <c r="S2" s="225" t="s">
        <v>224</v>
      </c>
      <c r="U2" s="223"/>
      <c r="V2" s="224" t="s">
        <v>222</v>
      </c>
      <c r="W2" s="224" t="s">
        <v>223</v>
      </c>
      <c r="X2" s="225" t="s">
        <v>224</v>
      </c>
      <c r="Z2" s="338"/>
      <c r="AA2" s="339" t="s">
        <v>222</v>
      </c>
      <c r="AB2" s="339" t="s">
        <v>223</v>
      </c>
      <c r="AD2" s="338"/>
      <c r="AE2" s="339" t="s">
        <v>222</v>
      </c>
      <c r="AF2" s="339" t="s">
        <v>223</v>
      </c>
      <c r="AH2" s="338"/>
      <c r="AI2" s="339" t="s">
        <v>222</v>
      </c>
      <c r="AJ2" s="339" t="s">
        <v>223</v>
      </c>
      <c r="AL2" s="338"/>
      <c r="AM2" s="339" t="s">
        <v>222</v>
      </c>
      <c r="AN2" s="339" t="s">
        <v>223</v>
      </c>
    </row>
    <row r="3" spans="1:40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11.5</v>
      </c>
      <c r="I3" s="229">
        <v>6.5</v>
      </c>
      <c r="K3" s="226">
        <v>1</v>
      </c>
      <c r="L3" s="227">
        <v>17</v>
      </c>
      <c r="M3" s="228">
        <v>12</v>
      </c>
      <c r="N3" s="229">
        <v>7</v>
      </c>
      <c r="P3" s="226">
        <v>1</v>
      </c>
      <c r="Q3" s="227">
        <v>16</v>
      </c>
      <c r="R3" s="228">
        <v>11</v>
      </c>
      <c r="S3" s="229">
        <v>6.5</v>
      </c>
      <c r="U3" s="226">
        <v>1</v>
      </c>
      <c r="V3" s="227">
        <v>16</v>
      </c>
      <c r="W3" s="228">
        <v>11.5</v>
      </c>
      <c r="X3" s="229">
        <v>7</v>
      </c>
      <c r="Z3" s="344">
        <v>1</v>
      </c>
      <c r="AA3" s="341">
        <v>16</v>
      </c>
      <c r="AB3" s="229">
        <v>10</v>
      </c>
      <c r="AD3" s="344">
        <v>1</v>
      </c>
      <c r="AE3" s="341">
        <v>15</v>
      </c>
      <c r="AF3" s="229">
        <v>9.5</v>
      </c>
      <c r="AH3" s="344">
        <v>1</v>
      </c>
      <c r="AI3" s="341">
        <v>15</v>
      </c>
      <c r="AJ3" s="229">
        <v>10</v>
      </c>
      <c r="AL3" s="344">
        <v>1</v>
      </c>
      <c r="AM3" s="341">
        <v>15</v>
      </c>
      <c r="AN3" s="229">
        <v>10.5</v>
      </c>
    </row>
    <row r="4" spans="1:40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10.5</v>
      </c>
      <c r="I4" s="233">
        <v>5.5</v>
      </c>
      <c r="K4" s="230">
        <v>2</v>
      </c>
      <c r="L4" s="231">
        <v>16</v>
      </c>
      <c r="M4" s="232">
        <v>11</v>
      </c>
      <c r="N4" s="233">
        <v>6</v>
      </c>
      <c r="P4" s="230">
        <v>2</v>
      </c>
      <c r="Q4" s="231">
        <v>15</v>
      </c>
      <c r="R4" s="232">
        <v>10</v>
      </c>
      <c r="S4" s="233">
        <v>5.5</v>
      </c>
      <c r="U4" s="230">
        <v>2</v>
      </c>
      <c r="V4" s="231">
        <v>15</v>
      </c>
      <c r="W4" s="232">
        <v>10.5</v>
      </c>
      <c r="X4" s="233">
        <v>6</v>
      </c>
      <c r="Z4" s="345">
        <v>2</v>
      </c>
      <c r="AA4" s="342">
        <v>15</v>
      </c>
      <c r="AB4" s="233">
        <v>9</v>
      </c>
      <c r="AD4" s="345">
        <v>2</v>
      </c>
      <c r="AE4" s="342">
        <v>14</v>
      </c>
      <c r="AF4" s="233">
        <v>8.5</v>
      </c>
      <c r="AH4" s="345">
        <v>2</v>
      </c>
      <c r="AI4" s="342">
        <v>14</v>
      </c>
      <c r="AJ4" s="233">
        <v>9</v>
      </c>
      <c r="AL4" s="345">
        <v>2</v>
      </c>
      <c r="AM4" s="342">
        <v>14</v>
      </c>
      <c r="AN4" s="233">
        <v>9.5</v>
      </c>
    </row>
    <row r="5" spans="1:40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9.5</v>
      </c>
      <c r="I5" s="233">
        <v>4.5</v>
      </c>
      <c r="K5" s="230">
        <v>3</v>
      </c>
      <c r="L5" s="231">
        <v>15</v>
      </c>
      <c r="M5" s="232">
        <v>10</v>
      </c>
      <c r="N5" s="233">
        <v>5</v>
      </c>
      <c r="P5" s="230">
        <v>3</v>
      </c>
      <c r="Q5" s="231">
        <v>14</v>
      </c>
      <c r="R5" s="232">
        <v>9</v>
      </c>
      <c r="S5" s="233">
        <v>4.5</v>
      </c>
      <c r="U5" s="230">
        <v>3</v>
      </c>
      <c r="V5" s="231">
        <v>14</v>
      </c>
      <c r="W5" s="232">
        <v>9.5</v>
      </c>
      <c r="X5" s="233">
        <v>5</v>
      </c>
      <c r="Z5" s="345">
        <v>3</v>
      </c>
      <c r="AA5" s="342">
        <v>14</v>
      </c>
      <c r="AB5" s="233">
        <v>8</v>
      </c>
      <c r="AD5" s="345">
        <v>3</v>
      </c>
      <c r="AE5" s="342">
        <v>13</v>
      </c>
      <c r="AF5" s="233">
        <v>7.5</v>
      </c>
      <c r="AH5" s="345">
        <v>3</v>
      </c>
      <c r="AI5" s="342">
        <v>13</v>
      </c>
      <c r="AJ5" s="233">
        <v>8</v>
      </c>
      <c r="AL5" s="345">
        <v>3</v>
      </c>
      <c r="AM5" s="342">
        <v>13</v>
      </c>
      <c r="AN5" s="233">
        <v>8.5</v>
      </c>
    </row>
    <row r="6" spans="1:40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8.5</v>
      </c>
      <c r="I6" s="233">
        <v>3.5</v>
      </c>
      <c r="K6" s="230">
        <v>4</v>
      </c>
      <c r="L6" s="231">
        <v>14</v>
      </c>
      <c r="M6" s="232">
        <v>9</v>
      </c>
      <c r="N6" s="233">
        <v>4</v>
      </c>
      <c r="P6" s="230">
        <v>4</v>
      </c>
      <c r="Q6" s="231">
        <v>13</v>
      </c>
      <c r="R6" s="232">
        <v>8</v>
      </c>
      <c r="S6" s="233">
        <v>3.5</v>
      </c>
      <c r="U6" s="230">
        <v>4</v>
      </c>
      <c r="V6" s="231">
        <v>13</v>
      </c>
      <c r="W6" s="232">
        <v>8.5</v>
      </c>
      <c r="X6" s="233">
        <v>4</v>
      </c>
      <c r="Z6" s="345">
        <v>4</v>
      </c>
      <c r="AA6" s="342">
        <v>13</v>
      </c>
      <c r="AB6" s="233">
        <v>7</v>
      </c>
      <c r="AD6" s="345">
        <v>4</v>
      </c>
      <c r="AE6" s="342">
        <v>12</v>
      </c>
      <c r="AF6" s="233">
        <v>6.5</v>
      </c>
      <c r="AH6" s="345">
        <v>4</v>
      </c>
      <c r="AI6" s="342">
        <v>12</v>
      </c>
      <c r="AJ6" s="233">
        <v>7</v>
      </c>
      <c r="AL6" s="345">
        <v>4</v>
      </c>
      <c r="AM6" s="342">
        <v>12</v>
      </c>
      <c r="AN6" s="233">
        <v>7.5</v>
      </c>
    </row>
    <row r="7" spans="1:40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7.5</v>
      </c>
      <c r="I7" s="233">
        <v>2.5</v>
      </c>
      <c r="K7" s="230">
        <v>5</v>
      </c>
      <c r="L7" s="231">
        <v>13</v>
      </c>
      <c r="M7" s="232">
        <v>8</v>
      </c>
      <c r="N7" s="233">
        <v>3</v>
      </c>
      <c r="P7" s="230">
        <v>5</v>
      </c>
      <c r="Q7" s="231">
        <v>12</v>
      </c>
      <c r="R7" s="232">
        <v>7</v>
      </c>
      <c r="S7" s="233">
        <v>2.5</v>
      </c>
      <c r="U7" s="230">
        <v>5</v>
      </c>
      <c r="V7" s="231">
        <v>12</v>
      </c>
      <c r="W7" s="232">
        <v>7.5</v>
      </c>
      <c r="X7" s="233">
        <v>3</v>
      </c>
      <c r="Z7" s="345">
        <v>5</v>
      </c>
      <c r="AA7" s="342">
        <v>12</v>
      </c>
      <c r="AB7" s="233">
        <v>6</v>
      </c>
      <c r="AD7" s="345">
        <v>5</v>
      </c>
      <c r="AE7" s="342">
        <v>11</v>
      </c>
      <c r="AF7" s="233">
        <v>5.5</v>
      </c>
      <c r="AH7" s="345">
        <v>5</v>
      </c>
      <c r="AI7" s="342">
        <v>11</v>
      </c>
      <c r="AJ7" s="233">
        <v>6</v>
      </c>
      <c r="AL7" s="345">
        <v>5</v>
      </c>
      <c r="AM7" s="342">
        <v>11</v>
      </c>
      <c r="AN7" s="233">
        <v>6.5</v>
      </c>
    </row>
    <row r="8" spans="1:40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</v>
      </c>
      <c r="I8" s="233">
        <v>2</v>
      </c>
      <c r="K8" s="230">
        <v>6</v>
      </c>
      <c r="L8" s="231">
        <v>12.5</v>
      </c>
      <c r="M8" s="232">
        <v>7.5</v>
      </c>
      <c r="N8" s="233">
        <v>2.5</v>
      </c>
      <c r="P8" s="230">
        <v>6</v>
      </c>
      <c r="Q8" s="231">
        <v>11.5</v>
      </c>
      <c r="R8" s="232">
        <v>6.5</v>
      </c>
      <c r="S8" s="233">
        <v>2</v>
      </c>
      <c r="U8" s="230">
        <v>6</v>
      </c>
      <c r="V8" s="231">
        <v>11.5</v>
      </c>
      <c r="W8" s="232">
        <v>7</v>
      </c>
      <c r="X8" s="233">
        <v>2.5</v>
      </c>
      <c r="Z8" s="345">
        <v>6</v>
      </c>
      <c r="AA8" s="342">
        <v>11.5</v>
      </c>
      <c r="AB8" s="233">
        <v>5.5</v>
      </c>
      <c r="AD8" s="345">
        <v>6</v>
      </c>
      <c r="AE8" s="342">
        <v>10.5</v>
      </c>
      <c r="AF8" s="233">
        <v>5</v>
      </c>
      <c r="AH8" s="345">
        <v>6</v>
      </c>
      <c r="AI8" s="342">
        <v>10.5</v>
      </c>
      <c r="AJ8" s="233">
        <v>5.5</v>
      </c>
      <c r="AL8" s="345">
        <v>6</v>
      </c>
      <c r="AM8" s="342">
        <v>10.5</v>
      </c>
      <c r="AN8" s="233">
        <v>6</v>
      </c>
    </row>
    <row r="9" spans="1:40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6.5</v>
      </c>
      <c r="I9" s="233">
        <v>1.5</v>
      </c>
      <c r="K9" s="230">
        <v>7</v>
      </c>
      <c r="L9" s="231">
        <v>12</v>
      </c>
      <c r="M9" s="232">
        <v>7</v>
      </c>
      <c r="N9" s="233">
        <v>2</v>
      </c>
      <c r="P9" s="230">
        <v>7</v>
      </c>
      <c r="Q9" s="231">
        <v>11</v>
      </c>
      <c r="R9" s="232">
        <v>6</v>
      </c>
      <c r="S9" s="233">
        <v>1.5</v>
      </c>
      <c r="U9" s="230">
        <v>7</v>
      </c>
      <c r="V9" s="231">
        <v>11</v>
      </c>
      <c r="W9" s="232">
        <v>6.5</v>
      </c>
      <c r="X9" s="233">
        <v>2</v>
      </c>
      <c r="Z9" s="345">
        <v>7</v>
      </c>
      <c r="AA9" s="342">
        <v>11</v>
      </c>
      <c r="AB9" s="233">
        <v>5</v>
      </c>
      <c r="AD9" s="345">
        <v>7</v>
      </c>
      <c r="AE9" s="342">
        <v>10</v>
      </c>
      <c r="AF9" s="233">
        <v>4.5</v>
      </c>
      <c r="AH9" s="345">
        <v>7</v>
      </c>
      <c r="AI9" s="342">
        <v>10</v>
      </c>
      <c r="AJ9" s="233">
        <v>5</v>
      </c>
      <c r="AL9" s="345">
        <v>7</v>
      </c>
      <c r="AM9" s="342">
        <v>10</v>
      </c>
      <c r="AN9" s="233">
        <v>5.5</v>
      </c>
    </row>
    <row r="10" spans="1:40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</v>
      </c>
      <c r="I10" s="233">
        <v>1</v>
      </c>
      <c r="K10" s="230">
        <v>8</v>
      </c>
      <c r="L10" s="231">
        <v>11.5</v>
      </c>
      <c r="M10" s="232">
        <v>6.5</v>
      </c>
      <c r="N10" s="233">
        <v>1.5</v>
      </c>
      <c r="P10" s="230">
        <v>8</v>
      </c>
      <c r="Q10" s="231">
        <v>10.5</v>
      </c>
      <c r="R10" s="232">
        <v>5.5</v>
      </c>
      <c r="S10" s="233">
        <v>1</v>
      </c>
      <c r="U10" s="230">
        <v>8</v>
      </c>
      <c r="V10" s="231">
        <v>10.5</v>
      </c>
      <c r="W10" s="232">
        <v>6</v>
      </c>
      <c r="X10" s="233">
        <v>1.5</v>
      </c>
      <c r="Z10" s="345">
        <v>8</v>
      </c>
      <c r="AA10" s="342">
        <v>10.5</v>
      </c>
      <c r="AB10" s="233">
        <v>4.5</v>
      </c>
      <c r="AD10" s="345">
        <v>8</v>
      </c>
      <c r="AE10" s="342">
        <v>9.5</v>
      </c>
      <c r="AF10" s="233">
        <v>4</v>
      </c>
      <c r="AH10" s="345">
        <v>8</v>
      </c>
      <c r="AI10" s="342">
        <v>9.5</v>
      </c>
      <c r="AJ10" s="233">
        <v>4.5</v>
      </c>
      <c r="AL10" s="348">
        <v>8</v>
      </c>
      <c r="AM10" s="349">
        <v>9.5</v>
      </c>
      <c r="AN10" s="350">
        <v>5</v>
      </c>
    </row>
    <row r="11" spans="1:40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5.5</v>
      </c>
      <c r="I11" s="233">
        <v>0.5</v>
      </c>
      <c r="K11" s="230">
        <v>9</v>
      </c>
      <c r="L11" s="231">
        <v>11</v>
      </c>
      <c r="M11" s="232">
        <v>6</v>
      </c>
      <c r="N11" s="233">
        <v>1</v>
      </c>
      <c r="P11" s="234">
        <v>9</v>
      </c>
      <c r="Q11" s="235">
        <v>10</v>
      </c>
      <c r="R11" s="236"/>
      <c r="S11" s="237"/>
      <c r="U11" s="234"/>
      <c r="V11" s="235"/>
      <c r="W11" s="236"/>
      <c r="X11" s="237"/>
      <c r="Z11" s="345">
        <v>9</v>
      </c>
      <c r="AA11" s="342">
        <v>10</v>
      </c>
      <c r="AB11" s="233">
        <v>4</v>
      </c>
      <c r="AD11" s="345">
        <v>9</v>
      </c>
      <c r="AE11" s="342">
        <v>9</v>
      </c>
      <c r="AF11" s="233">
        <v>3.5</v>
      </c>
      <c r="AH11" s="345">
        <v>9</v>
      </c>
      <c r="AI11" s="342">
        <v>9</v>
      </c>
      <c r="AJ11" s="233">
        <v>4</v>
      </c>
      <c r="AL11" s="351"/>
      <c r="AM11" s="351"/>
      <c r="AN11" s="351"/>
    </row>
    <row r="12" spans="1:40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>
        <v>10</v>
      </c>
      <c r="G12" s="235">
        <v>10.5</v>
      </c>
      <c r="H12" s="236"/>
      <c r="I12" s="237"/>
      <c r="K12" s="234"/>
      <c r="L12" s="235"/>
      <c r="M12" s="236"/>
      <c r="N12" s="237"/>
      <c r="Z12" s="345">
        <v>10</v>
      </c>
      <c r="AA12" s="342">
        <v>9.5</v>
      </c>
      <c r="AB12" s="233">
        <v>3.5</v>
      </c>
      <c r="AD12" s="345">
        <v>10</v>
      </c>
      <c r="AE12" s="342">
        <v>8.5</v>
      </c>
      <c r="AF12" s="233">
        <v>3</v>
      </c>
      <c r="AL12" s="222" t="s">
        <v>288</v>
      </c>
    </row>
    <row r="13" spans="1:40" ht="15.75" customHeight="1" thickBot="1" x14ac:dyDescent="0.25">
      <c r="Z13" s="346">
        <v>11</v>
      </c>
      <c r="AA13" s="347">
        <v>9</v>
      </c>
      <c r="AB13" s="237">
        <v>3</v>
      </c>
      <c r="AH13" s="391" t="s">
        <v>287</v>
      </c>
      <c r="AI13" s="391"/>
      <c r="AJ13" s="391"/>
      <c r="AL13" s="232">
        <v>1</v>
      </c>
      <c r="AM13" s="232">
        <v>15</v>
      </c>
    </row>
    <row r="14" spans="1:40" ht="13.5" thickBot="1" x14ac:dyDescent="0.25">
      <c r="AH14" s="338"/>
      <c r="AI14" s="339" t="s">
        <v>222</v>
      </c>
      <c r="AJ14" s="339" t="s">
        <v>223</v>
      </c>
      <c r="AL14" s="232">
        <v>2</v>
      </c>
      <c r="AM14" s="232">
        <v>14</v>
      </c>
    </row>
    <row r="15" spans="1:40" ht="15.75" customHeight="1" thickBot="1" x14ac:dyDescent="0.25">
      <c r="A15" s="392" t="s">
        <v>227</v>
      </c>
      <c r="B15" s="393"/>
      <c r="C15" s="393"/>
      <c r="D15" s="393"/>
      <c r="E15" s="393"/>
      <c r="F15" s="393"/>
      <c r="G15" s="393"/>
      <c r="H15" s="393"/>
      <c r="I15" s="393"/>
      <c r="J15" s="393"/>
      <c r="K15" s="393"/>
      <c r="L15" s="394"/>
      <c r="M15" s="337"/>
      <c r="N15" s="337"/>
      <c r="AH15" s="344">
        <v>1</v>
      </c>
      <c r="AI15" s="341">
        <v>15</v>
      </c>
      <c r="AJ15" s="229">
        <v>10.5</v>
      </c>
      <c r="AL15" s="232">
        <v>3</v>
      </c>
      <c r="AM15" s="232">
        <v>13</v>
      </c>
    </row>
    <row r="16" spans="1:40" ht="15.75" customHeight="1" thickBot="1" x14ac:dyDescent="0.25">
      <c r="A16" s="328"/>
      <c r="B16" s="395" t="s">
        <v>228</v>
      </c>
      <c r="C16" s="396"/>
      <c r="D16" s="396"/>
      <c r="E16" s="396"/>
      <c r="F16" s="396"/>
      <c r="G16" s="396"/>
      <c r="H16" s="396"/>
      <c r="I16" s="396"/>
      <c r="J16" s="396"/>
      <c r="K16" s="396"/>
      <c r="L16" s="397"/>
      <c r="M16" s="239" t="s">
        <v>229</v>
      </c>
      <c r="N16" s="240" t="s">
        <v>230</v>
      </c>
      <c r="AH16" s="345">
        <v>2</v>
      </c>
      <c r="AI16" s="342">
        <v>14</v>
      </c>
      <c r="AJ16" s="233">
        <v>9.5</v>
      </c>
      <c r="AL16" s="232">
        <v>4</v>
      </c>
      <c r="AM16" s="232">
        <v>12</v>
      </c>
    </row>
    <row r="17" spans="1:39" ht="13.5" thickBot="1" x14ac:dyDescent="0.25">
      <c r="A17" s="357"/>
      <c r="B17" s="338" t="s">
        <v>290</v>
      </c>
      <c r="C17" s="356" t="s">
        <v>289</v>
      </c>
      <c r="D17" s="353" t="s">
        <v>231</v>
      </c>
      <c r="E17" s="353" t="s">
        <v>232</v>
      </c>
      <c r="F17" s="353" t="s">
        <v>233</v>
      </c>
      <c r="G17" s="353" t="s">
        <v>234</v>
      </c>
      <c r="H17" s="353" t="s">
        <v>235</v>
      </c>
      <c r="I17" s="353" t="s">
        <v>236</v>
      </c>
      <c r="J17" s="353" t="s">
        <v>237</v>
      </c>
      <c r="K17" s="353" t="s">
        <v>238</v>
      </c>
      <c r="L17" s="354" t="s">
        <v>239</v>
      </c>
      <c r="M17" s="241"/>
      <c r="N17" s="241"/>
      <c r="AH17" s="345">
        <v>3</v>
      </c>
      <c r="AI17" s="342">
        <v>13</v>
      </c>
      <c r="AJ17" s="233">
        <v>8.5</v>
      </c>
      <c r="AL17" s="232">
        <v>5</v>
      </c>
      <c r="AM17" s="232">
        <v>11</v>
      </c>
    </row>
    <row r="18" spans="1:39" x14ac:dyDescent="0.2">
      <c r="A18" s="242">
        <v>1</v>
      </c>
      <c r="B18" s="227">
        <v>1.3</v>
      </c>
      <c r="C18" s="228">
        <v>1.3</v>
      </c>
      <c r="D18" s="355">
        <v>1.2</v>
      </c>
      <c r="E18" s="355">
        <v>1.2</v>
      </c>
      <c r="F18" s="355">
        <v>1.2</v>
      </c>
      <c r="G18" s="355">
        <v>1.1000000000000001</v>
      </c>
      <c r="H18" s="355">
        <v>1</v>
      </c>
      <c r="I18" s="355">
        <v>0.9</v>
      </c>
      <c r="J18" s="355">
        <v>0.8</v>
      </c>
      <c r="K18" s="355">
        <v>0.7</v>
      </c>
      <c r="L18" s="358">
        <v>0.7</v>
      </c>
      <c r="M18" s="242">
        <v>0.7</v>
      </c>
      <c r="N18" s="243">
        <v>0.5</v>
      </c>
      <c r="AH18" s="345">
        <v>4</v>
      </c>
      <c r="AI18" s="342">
        <v>12</v>
      </c>
      <c r="AJ18" s="233">
        <v>7.5</v>
      </c>
      <c r="AL18" s="232">
        <v>6</v>
      </c>
      <c r="AM18" s="232">
        <v>10.5</v>
      </c>
    </row>
    <row r="19" spans="1:39" x14ac:dyDescent="0.2">
      <c r="A19" s="244">
        <v>2</v>
      </c>
      <c r="B19" s="231"/>
      <c r="C19" s="232">
        <f>C18+D18</f>
        <v>2.5</v>
      </c>
      <c r="D19" s="245">
        <f t="shared" ref="D19:K19" si="0">D18+E18</f>
        <v>2.4</v>
      </c>
      <c r="E19" s="245">
        <f t="shared" si="0"/>
        <v>2.4</v>
      </c>
      <c r="F19" s="245">
        <f t="shared" si="0"/>
        <v>2.2999999999999998</v>
      </c>
      <c r="G19" s="245">
        <f t="shared" si="0"/>
        <v>2.1</v>
      </c>
      <c r="H19" s="245">
        <f t="shared" si="0"/>
        <v>1.9</v>
      </c>
      <c r="I19" s="245">
        <f t="shared" si="0"/>
        <v>1.7000000000000002</v>
      </c>
      <c r="J19" s="245">
        <f t="shared" si="0"/>
        <v>1.5</v>
      </c>
      <c r="K19" s="245">
        <f t="shared" si="0"/>
        <v>1.4</v>
      </c>
      <c r="L19" s="246"/>
      <c r="M19" s="244">
        <v>1.4</v>
      </c>
      <c r="N19" s="247">
        <v>1</v>
      </c>
      <c r="AH19" s="345">
        <v>5</v>
      </c>
      <c r="AI19" s="342">
        <v>11</v>
      </c>
      <c r="AJ19" s="233">
        <v>6.5</v>
      </c>
      <c r="AL19" s="232">
        <v>7</v>
      </c>
      <c r="AM19" s="232">
        <v>10</v>
      </c>
    </row>
    <row r="20" spans="1:39" x14ac:dyDescent="0.2">
      <c r="A20" s="244">
        <v>3</v>
      </c>
      <c r="B20" s="231"/>
      <c r="C20" s="232">
        <f>C19+E18</f>
        <v>3.7</v>
      </c>
      <c r="D20" s="245">
        <f>D19+F18</f>
        <v>3.5999999999999996</v>
      </c>
      <c r="E20" s="245">
        <f>E19+G18</f>
        <v>3.5</v>
      </c>
      <c r="F20" s="245">
        <f>F19+H18</f>
        <v>3.3</v>
      </c>
      <c r="G20" s="245">
        <f>G19+I18</f>
        <v>3</v>
      </c>
      <c r="H20" s="245">
        <f>H19+I18</f>
        <v>2.8</v>
      </c>
      <c r="I20" s="245">
        <f>I19+K18</f>
        <v>2.4000000000000004</v>
      </c>
      <c r="J20" s="245">
        <f>J19+L18</f>
        <v>2.2000000000000002</v>
      </c>
      <c r="K20" s="245"/>
      <c r="L20" s="246"/>
      <c r="M20" s="244">
        <v>2.1</v>
      </c>
      <c r="N20" s="247">
        <v>1.5</v>
      </c>
      <c r="AH20" s="345">
        <v>6</v>
      </c>
      <c r="AI20" s="342">
        <v>10.5</v>
      </c>
      <c r="AJ20" s="233">
        <v>6</v>
      </c>
      <c r="AL20" s="232">
        <v>8</v>
      </c>
      <c r="AM20" s="232">
        <v>9.5</v>
      </c>
    </row>
    <row r="21" spans="1:39" x14ac:dyDescent="0.2">
      <c r="A21" s="244">
        <v>4</v>
      </c>
      <c r="B21" s="231"/>
      <c r="C21" s="232">
        <f>C20+F18</f>
        <v>4.9000000000000004</v>
      </c>
      <c r="D21" s="245">
        <f t="shared" ref="D21:I21" si="1">D20+G18</f>
        <v>4.6999999999999993</v>
      </c>
      <c r="E21" s="245">
        <f t="shared" si="1"/>
        <v>4.5</v>
      </c>
      <c r="F21" s="245">
        <f t="shared" si="1"/>
        <v>4.2</v>
      </c>
      <c r="G21" s="245">
        <f t="shared" si="1"/>
        <v>3.8</v>
      </c>
      <c r="H21" s="245">
        <f t="shared" si="1"/>
        <v>3.5</v>
      </c>
      <c r="I21" s="245">
        <f t="shared" si="1"/>
        <v>3.1000000000000005</v>
      </c>
      <c r="J21" s="245"/>
      <c r="K21" s="245"/>
      <c r="L21" s="246"/>
      <c r="M21" s="244">
        <v>2.8</v>
      </c>
      <c r="N21" s="247">
        <v>2</v>
      </c>
      <c r="AH21" s="345">
        <v>7</v>
      </c>
      <c r="AI21" s="342">
        <v>10</v>
      </c>
      <c r="AJ21" s="233">
        <v>5.5</v>
      </c>
      <c r="AL21" s="232">
        <v>9</v>
      </c>
      <c r="AM21" s="232">
        <v>9</v>
      </c>
    </row>
    <row r="22" spans="1:39" x14ac:dyDescent="0.2">
      <c r="A22" s="244">
        <v>5</v>
      </c>
      <c r="B22" s="231"/>
      <c r="C22" s="232">
        <f t="shared" ref="C22:H22" si="2">C21+G18</f>
        <v>6</v>
      </c>
      <c r="D22" s="245">
        <f t="shared" si="2"/>
        <v>5.6999999999999993</v>
      </c>
      <c r="E22" s="245">
        <f t="shared" si="2"/>
        <v>5.4</v>
      </c>
      <c r="F22" s="245">
        <f t="shared" si="2"/>
        <v>5</v>
      </c>
      <c r="G22" s="245">
        <f t="shared" si="2"/>
        <v>4.5</v>
      </c>
      <c r="H22" s="245">
        <f t="shared" si="2"/>
        <v>4.2</v>
      </c>
      <c r="I22" s="245"/>
      <c r="J22" s="245"/>
      <c r="K22" s="245"/>
      <c r="L22" s="246"/>
      <c r="M22" s="244">
        <v>3.5</v>
      </c>
      <c r="N22" s="247">
        <v>2.5</v>
      </c>
      <c r="AL22" s="232">
        <v>10</v>
      </c>
      <c r="AM22" s="232">
        <v>8.5</v>
      </c>
    </row>
    <row r="23" spans="1:39" x14ac:dyDescent="0.2">
      <c r="A23" s="244">
        <v>6</v>
      </c>
      <c r="B23" s="231" t="s">
        <v>271</v>
      </c>
      <c r="C23" s="232">
        <f>C22+H18</f>
        <v>7</v>
      </c>
      <c r="D23" s="245">
        <f>D22+I18</f>
        <v>6.6</v>
      </c>
      <c r="E23" s="245">
        <f>E22+J18</f>
        <v>6.2</v>
      </c>
      <c r="F23" s="245">
        <f>F22+K18</f>
        <v>5.7</v>
      </c>
      <c r="G23" s="245">
        <f>G22+L18</f>
        <v>5.2</v>
      </c>
      <c r="H23" s="245"/>
      <c r="I23" s="245"/>
      <c r="J23" s="245"/>
      <c r="K23" s="245"/>
      <c r="L23" s="246"/>
      <c r="M23" s="244">
        <v>4.2</v>
      </c>
      <c r="N23" s="247">
        <v>3</v>
      </c>
      <c r="AL23" s="232">
        <v>11</v>
      </c>
      <c r="AM23" s="232">
        <v>8</v>
      </c>
    </row>
    <row r="24" spans="1:39" x14ac:dyDescent="0.2">
      <c r="A24" s="244">
        <v>7</v>
      </c>
      <c r="B24" s="231"/>
      <c r="C24" s="232">
        <f>C23+I18</f>
        <v>7.9</v>
      </c>
      <c r="D24" s="245">
        <f>D23+J18</f>
        <v>7.3999999999999995</v>
      </c>
      <c r="E24" s="245">
        <f>E23+K18</f>
        <v>6.9</v>
      </c>
      <c r="F24" s="245">
        <f>F23+L18</f>
        <v>6.4</v>
      </c>
      <c r="G24" s="245"/>
      <c r="H24" s="245"/>
      <c r="I24" s="245"/>
      <c r="J24" s="245"/>
      <c r="K24" s="245"/>
      <c r="L24" s="246"/>
      <c r="M24" s="244">
        <v>4.9000000000000004</v>
      </c>
      <c r="N24" s="247">
        <v>3.5</v>
      </c>
      <c r="AL24" s="232">
        <v>12</v>
      </c>
      <c r="AM24" s="232">
        <v>7.5</v>
      </c>
    </row>
    <row r="25" spans="1:39" x14ac:dyDescent="0.2">
      <c r="A25" s="244">
        <v>8</v>
      </c>
      <c r="B25" s="231"/>
      <c r="C25" s="232">
        <f>C24+J18</f>
        <v>8.7000000000000011</v>
      </c>
      <c r="D25" s="245">
        <f>D24+K18</f>
        <v>8.1</v>
      </c>
      <c r="E25" s="245">
        <f>E24+L18</f>
        <v>7.6000000000000005</v>
      </c>
      <c r="F25" s="245"/>
      <c r="G25" s="245"/>
      <c r="H25" s="245"/>
      <c r="I25" s="245"/>
      <c r="J25" s="245"/>
      <c r="K25" s="245"/>
      <c r="L25" s="246"/>
      <c r="M25" s="244">
        <v>5.6</v>
      </c>
      <c r="N25" s="247">
        <v>4</v>
      </c>
      <c r="AH25" s="352"/>
      <c r="AI25" s="352"/>
    </row>
    <row r="26" spans="1:39" x14ac:dyDescent="0.2">
      <c r="A26" s="244">
        <v>9</v>
      </c>
      <c r="B26" s="231"/>
      <c r="C26" s="232">
        <f>C25+K18</f>
        <v>9.4</v>
      </c>
      <c r="D26" s="245">
        <f>D25+L18</f>
        <v>8.7999999999999989</v>
      </c>
      <c r="E26" s="245"/>
      <c r="F26" s="245"/>
      <c r="G26" s="245"/>
      <c r="H26" s="245"/>
      <c r="I26" s="245"/>
      <c r="J26" s="245"/>
      <c r="K26" s="245"/>
      <c r="L26" s="246"/>
      <c r="M26" s="244">
        <v>6.3</v>
      </c>
      <c r="N26" s="247">
        <v>4.5</v>
      </c>
      <c r="AH26" s="352"/>
      <c r="AI26" s="352"/>
    </row>
    <row r="27" spans="1:39" x14ac:dyDescent="0.2">
      <c r="A27" s="230">
        <v>10</v>
      </c>
      <c r="B27" s="231"/>
      <c r="C27" s="232">
        <f>C26+L18</f>
        <v>10.1</v>
      </c>
      <c r="D27" s="232"/>
      <c r="E27" s="340"/>
      <c r="F27" s="340"/>
      <c r="G27" s="340"/>
      <c r="H27" s="340"/>
      <c r="I27" s="340"/>
      <c r="J27" s="340"/>
      <c r="K27" s="340"/>
      <c r="L27" s="359"/>
      <c r="M27" s="230">
        <v>7</v>
      </c>
      <c r="N27" s="361">
        <v>5</v>
      </c>
    </row>
    <row r="28" spans="1:39" ht="13.5" thickBot="1" x14ac:dyDescent="0.25">
      <c r="A28" s="234">
        <v>11</v>
      </c>
      <c r="B28" s="235"/>
      <c r="C28" s="236"/>
      <c r="D28" s="236"/>
      <c r="E28" s="343"/>
      <c r="F28" s="343"/>
      <c r="G28" s="343"/>
      <c r="H28" s="343"/>
      <c r="I28" s="343"/>
      <c r="J28" s="343"/>
      <c r="K28" s="343"/>
      <c r="L28" s="360"/>
      <c r="M28" s="234">
        <v>7.7</v>
      </c>
      <c r="N28" s="362">
        <v>5.5</v>
      </c>
    </row>
  </sheetData>
  <mergeCells count="12">
    <mergeCell ref="A15:L15"/>
    <mergeCell ref="B16:L16"/>
    <mergeCell ref="AD1:AF1"/>
    <mergeCell ref="AH1:AJ1"/>
    <mergeCell ref="AL1:AN1"/>
    <mergeCell ref="AH13:AJ13"/>
    <mergeCell ref="A1:D1"/>
    <mergeCell ref="K1:N1"/>
    <mergeCell ref="F1:I1"/>
    <mergeCell ref="P1:S1"/>
    <mergeCell ref="Z1:AB1"/>
    <mergeCell ref="U1:X1"/>
  </mergeCells>
  <pageMargins left="0.75" right="0.75" top="1" bottom="1" header="0.5" footer="0.5"/>
  <pageSetup paperSize="9" orientation="portrait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27.09</vt:lpstr>
      <vt:lpstr>04.10</vt:lpstr>
      <vt:lpstr>11.10</vt:lpstr>
      <vt:lpstr>18.10 </vt:lpstr>
      <vt:lpstr>25.10</vt:lpstr>
      <vt:lpstr>01.11</vt:lpstr>
      <vt:lpstr>Очки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2016-11-01T20:21:28Z</dcterms:modified>
</cp:coreProperties>
</file>