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 firstSheet="6" activeTab="17"/>
  </bookViews>
  <sheets>
    <sheet name="21.06" sheetId="1" r:id="rId1"/>
    <sheet name="28.06" sheetId="2" r:id="rId2"/>
    <sheet name="05.07" sheetId="3" r:id="rId3"/>
    <sheet name="12.07 " sheetId="4" r:id="rId4"/>
    <sheet name="19.07" sheetId="5" r:id="rId5"/>
    <sheet name="26.07" sheetId="12" r:id="rId6"/>
    <sheet name="02.08" sheetId="13" r:id="rId7"/>
    <sheet name="09.08" sheetId="14" r:id="rId8"/>
    <sheet name="16.08" sheetId="15" r:id="rId9"/>
    <sheet name="30.08" sheetId="17" r:id="rId10"/>
    <sheet name="06.09" sheetId="18" r:id="rId11"/>
    <sheet name="13.09" sheetId="20" r:id="rId12"/>
    <sheet name="20.09" sheetId="21" r:id="rId13"/>
    <sheet name="27.09" sheetId="22" r:id="rId14"/>
    <sheet name="04.10" sheetId="23" r:id="rId15"/>
    <sheet name="11.10" sheetId="24" r:id="rId16"/>
    <sheet name="18.10 " sheetId="25" r:id="rId17"/>
    <sheet name="25.10" sheetId="26" r:id="rId18"/>
    <sheet name="Очки" sheetId="19" r:id="rId19"/>
    <sheet name="Лист2" sheetId="16" r:id="rId20"/>
  </sheets>
  <definedNames>
    <definedName name="_xlnm._FilterDatabase" localSheetId="6" hidden="1">'02.08'!$A$4:$I$4</definedName>
    <definedName name="_xlnm._FilterDatabase" localSheetId="14" hidden="1">'04.10'!$A$1:$J$31</definedName>
    <definedName name="_xlnm._FilterDatabase" localSheetId="10" hidden="1">'06.09'!$A$1:$J$37</definedName>
    <definedName name="_xlnm._FilterDatabase" localSheetId="7" hidden="1">'09.08'!$A$4:$I$4</definedName>
    <definedName name="_xlnm._FilterDatabase" localSheetId="15" hidden="1">'11.10'!$A$1:$J$31</definedName>
    <definedName name="_xlnm._FilterDatabase" localSheetId="11" hidden="1">'13.09'!$A$1:$J$31</definedName>
    <definedName name="_xlnm._FilterDatabase" localSheetId="8" hidden="1">'16.08'!$A$1:$I$37</definedName>
    <definedName name="_xlnm._FilterDatabase" localSheetId="16" hidden="1">'18.10 '!$A$1:$J$31</definedName>
    <definedName name="_xlnm._FilterDatabase" localSheetId="12" hidden="1">'20.09'!$A$1:$J$31</definedName>
    <definedName name="_xlnm._FilterDatabase" localSheetId="17" hidden="1">'25.10'!$A$1:$J$31</definedName>
    <definedName name="_xlnm._FilterDatabase" localSheetId="5" hidden="1">'26.07'!$A$4:$I$4</definedName>
    <definedName name="_xlnm._FilterDatabase" localSheetId="13" hidden="1">'27.09'!$A$1:$J$31</definedName>
    <definedName name="_xlnm._FilterDatabase" localSheetId="9" hidden="1">'30.08'!$A$1:$J$37</definedName>
  </definedNames>
  <calcPr calcId="145621"/>
</workbook>
</file>

<file path=xl/calcChain.xml><?xml version="1.0" encoding="utf-8"?>
<calcChain xmlns="http://schemas.openxmlformats.org/spreadsheetml/2006/main">
  <c r="H14" i="26" l="1"/>
  <c r="H5" i="26"/>
  <c r="I5" i="26"/>
  <c r="J5" i="26"/>
  <c r="H8" i="26"/>
  <c r="I8" i="26"/>
  <c r="J8" i="26"/>
  <c r="H6" i="26"/>
  <c r="I6" i="26"/>
  <c r="J6" i="26"/>
  <c r="I11" i="26"/>
  <c r="I14" i="26"/>
  <c r="I17" i="26"/>
  <c r="I7" i="26"/>
  <c r="I10" i="26"/>
  <c r="I9" i="26"/>
  <c r="I16" i="26"/>
  <c r="I13" i="26"/>
  <c r="F24" i="19"/>
  <c r="C27" i="19"/>
  <c r="C26" i="19"/>
  <c r="C25" i="19"/>
  <c r="C24" i="19"/>
  <c r="C23" i="19"/>
  <c r="I23" i="26"/>
  <c r="I24" i="26"/>
  <c r="I21" i="26"/>
  <c r="I22" i="26"/>
  <c r="I18" i="26"/>
  <c r="I19" i="26"/>
  <c r="I15" i="26"/>
  <c r="I20" i="26"/>
  <c r="I25" i="26"/>
  <c r="I12" i="26"/>
  <c r="H13" i="26"/>
  <c r="H7" i="26"/>
  <c r="H10" i="26"/>
  <c r="H23" i="26"/>
  <c r="H20" i="26"/>
  <c r="H21" i="26"/>
  <c r="H19" i="26"/>
  <c r="H24" i="26"/>
  <c r="H25" i="26"/>
  <c r="H18" i="26"/>
  <c r="H22" i="26"/>
  <c r="H9" i="26"/>
  <c r="H15" i="26"/>
  <c r="C22" i="19" l="1"/>
  <c r="C21" i="19"/>
  <c r="C20" i="19"/>
  <c r="C19" i="19"/>
  <c r="J32" i="26"/>
  <c r="J31" i="26"/>
  <c r="J30" i="26"/>
  <c r="J29" i="26"/>
  <c r="J28" i="26"/>
  <c r="J27" i="26"/>
  <c r="J26" i="26"/>
  <c r="J17" i="26"/>
  <c r="J19" i="26"/>
  <c r="J7" i="26"/>
  <c r="J10" i="26"/>
  <c r="J15" i="26"/>
  <c r="J21" i="26"/>
  <c r="J20" i="26"/>
  <c r="J24" i="26"/>
  <c r="J9" i="26"/>
  <c r="J22" i="26"/>
  <c r="J14" i="26"/>
  <c r="J16" i="26"/>
  <c r="J12" i="26"/>
  <c r="J25" i="26"/>
  <c r="J23" i="26"/>
  <c r="J11" i="26"/>
  <c r="J13" i="26"/>
  <c r="J18" i="26"/>
  <c r="H5" i="25" l="1"/>
  <c r="I5" i="25"/>
  <c r="J5" i="25"/>
  <c r="I11" i="25"/>
  <c r="I9" i="25"/>
  <c r="I8" i="25"/>
  <c r="I17" i="25"/>
  <c r="I10" i="25"/>
  <c r="I13" i="25"/>
  <c r="I14" i="25"/>
  <c r="I6" i="25"/>
  <c r="J11" i="25"/>
  <c r="I7" i="25"/>
  <c r="I16" i="25"/>
  <c r="I12" i="25"/>
  <c r="H7" i="25"/>
  <c r="I25" i="25"/>
  <c r="H24" i="25"/>
  <c r="I24" i="25"/>
  <c r="I23" i="25"/>
  <c r="I19" i="25"/>
  <c r="I22" i="25"/>
  <c r="I18" i="25"/>
  <c r="I20" i="25"/>
  <c r="J20" i="25" s="1"/>
  <c r="I15" i="25"/>
  <c r="J15" i="25" s="1"/>
  <c r="I21" i="25"/>
  <c r="H10" i="25"/>
  <c r="H8" i="25"/>
  <c r="H6" i="25"/>
  <c r="J7" i="25"/>
  <c r="H16" i="25"/>
  <c r="J16" i="25" s="1"/>
  <c r="H20" i="25"/>
  <c r="H13" i="25"/>
  <c r="J13" i="25" s="1"/>
  <c r="J10" i="25"/>
  <c r="H17" i="25"/>
  <c r="H11" i="25"/>
  <c r="H12" i="25"/>
  <c r="H14" i="25"/>
  <c r="H15" i="25"/>
  <c r="H21" i="25"/>
  <c r="J21" i="25" s="1"/>
  <c r="H18" i="25"/>
  <c r="H23" i="25"/>
  <c r="J23" i="25" s="1"/>
  <c r="H19" i="25"/>
  <c r="H9" i="25"/>
  <c r="H22" i="25"/>
  <c r="H25" i="25"/>
  <c r="J32" i="25"/>
  <c r="J31" i="25"/>
  <c r="J30" i="25"/>
  <c r="J29" i="25"/>
  <c r="J28" i="25"/>
  <c r="J27" i="25"/>
  <c r="J26" i="25"/>
  <c r="J18" i="25"/>
  <c r="J19" i="25"/>
  <c r="J8" i="25"/>
  <c r="J12" i="25"/>
  <c r="J17" i="25" l="1"/>
  <c r="J14" i="25"/>
  <c r="J6" i="25"/>
  <c r="J9" i="25"/>
  <c r="J25" i="25"/>
  <c r="J24" i="25"/>
  <c r="J22" i="25"/>
  <c r="H5" i="24" l="1"/>
  <c r="I5" i="24"/>
  <c r="J5" i="24" s="1"/>
  <c r="H9" i="24"/>
  <c r="I9" i="24"/>
  <c r="J9" i="24"/>
  <c r="I8" i="24"/>
  <c r="I7" i="24"/>
  <c r="I6" i="24"/>
  <c r="I15" i="24"/>
  <c r="I11" i="24"/>
  <c r="I10" i="24"/>
  <c r="I12" i="24"/>
  <c r="J12" i="24" s="1"/>
  <c r="I13" i="24"/>
  <c r="H10" i="24"/>
  <c r="H14" i="24"/>
  <c r="H12" i="24"/>
  <c r="H15" i="24"/>
  <c r="H13" i="24"/>
  <c r="H11" i="24"/>
  <c r="H8" i="24"/>
  <c r="H6" i="24"/>
  <c r="H7" i="24"/>
  <c r="J32" i="24"/>
  <c r="J31" i="24"/>
  <c r="J30" i="24"/>
  <c r="J29" i="24"/>
  <c r="J28" i="24"/>
  <c r="J27" i="24"/>
  <c r="J26" i="24"/>
  <c r="J25" i="24"/>
  <c r="J24" i="24"/>
  <c r="J23" i="24"/>
  <c r="J22" i="24"/>
  <c r="J21" i="24"/>
  <c r="J20" i="24"/>
  <c r="J19" i="24"/>
  <c r="J18" i="24"/>
  <c r="J17" i="24"/>
  <c r="J16" i="24"/>
  <c r="J15" i="24"/>
  <c r="J7" i="24"/>
  <c r="J14" i="24"/>
  <c r="J11" i="24" l="1"/>
  <c r="J10" i="24"/>
  <c r="J13" i="24"/>
  <c r="J8" i="24"/>
  <c r="J6" i="24"/>
  <c r="I8" i="23" l="1"/>
  <c r="I11" i="23"/>
  <c r="I7" i="23"/>
  <c r="I6" i="23"/>
  <c r="J6" i="23" s="1"/>
  <c r="I5" i="23"/>
  <c r="J11" i="23"/>
  <c r="I10" i="23"/>
  <c r="J10" i="23" s="1"/>
  <c r="I13" i="23"/>
  <c r="I9" i="23"/>
  <c r="I21" i="23"/>
  <c r="I17" i="23"/>
  <c r="J17" i="23" s="1"/>
  <c r="I18" i="23"/>
  <c r="I22" i="23"/>
  <c r="J22" i="23" s="1"/>
  <c r="I12" i="23"/>
  <c r="I20" i="23"/>
  <c r="I15" i="23"/>
  <c r="I29" i="23"/>
  <c r="I28" i="23"/>
  <c r="J28" i="23" s="1"/>
  <c r="I24" i="23"/>
  <c r="I26" i="23"/>
  <c r="I19" i="23"/>
  <c r="J19" i="23" s="1"/>
  <c r="I23" i="23"/>
  <c r="I25" i="23"/>
  <c r="J25" i="23" s="1"/>
  <c r="I14" i="23"/>
  <c r="H11" i="23"/>
  <c r="H10" i="23"/>
  <c r="H6" i="23"/>
  <c r="H7" i="23"/>
  <c r="H5" i="23"/>
  <c r="H19" i="23"/>
  <c r="H16" i="23"/>
  <c r="J16" i="23" s="1"/>
  <c r="H9" i="23"/>
  <c r="H14" i="23"/>
  <c r="J14" i="23" s="1"/>
  <c r="H24" i="23"/>
  <c r="H17" i="23"/>
  <c r="H25" i="23"/>
  <c r="H28" i="23"/>
  <c r="H8" i="23"/>
  <c r="H13" i="23"/>
  <c r="H26" i="23"/>
  <c r="H18" i="23"/>
  <c r="H23" i="23"/>
  <c r="H22" i="23"/>
  <c r="H12" i="23"/>
  <c r="H20" i="23"/>
  <c r="H15" i="23"/>
  <c r="H27" i="23"/>
  <c r="J27" i="23" s="1"/>
  <c r="J20" i="23"/>
  <c r="J32" i="23"/>
  <c r="J31" i="23"/>
  <c r="J21" i="23"/>
  <c r="J24" i="23"/>
  <c r="J26" i="23"/>
  <c r="J18" i="23"/>
  <c r="J30" i="23"/>
  <c r="J29" i="23"/>
  <c r="J8" i="23" l="1"/>
  <c r="J13" i="23"/>
  <c r="J5" i="23"/>
  <c r="J9" i="23"/>
  <c r="J7" i="23"/>
  <c r="J12" i="23"/>
  <c r="J15" i="23"/>
  <c r="J23" i="23"/>
  <c r="H6" i="22" l="1"/>
  <c r="I6" i="22"/>
  <c r="J6" i="22"/>
  <c r="I8" i="22"/>
  <c r="I7" i="22"/>
  <c r="I9" i="22"/>
  <c r="I5" i="22"/>
  <c r="I12" i="22"/>
  <c r="I11" i="22"/>
  <c r="I16" i="22"/>
  <c r="I10" i="22"/>
  <c r="I14" i="22"/>
  <c r="J14" i="22" s="1"/>
  <c r="I19" i="22"/>
  <c r="I15" i="22"/>
  <c r="I26" i="22"/>
  <c r="I25" i="22"/>
  <c r="I20" i="22"/>
  <c r="I24" i="22"/>
  <c r="I23" i="22"/>
  <c r="I17" i="22"/>
  <c r="I22" i="22"/>
  <c r="I18" i="22"/>
  <c r="I13" i="22"/>
  <c r="I21" i="22"/>
  <c r="H7" i="22"/>
  <c r="J7" i="22" s="1"/>
  <c r="H8" i="22"/>
  <c r="H10" i="22"/>
  <c r="J10" i="22" s="1"/>
  <c r="H5" i="22"/>
  <c r="J5" i="22" s="1"/>
  <c r="H19" i="22"/>
  <c r="H16" i="22"/>
  <c r="J16" i="22" s="1"/>
  <c r="H14" i="22"/>
  <c r="H12" i="22"/>
  <c r="J12" i="22" s="1"/>
  <c r="H9" i="22"/>
  <c r="H11" i="22"/>
  <c r="H21" i="22"/>
  <c r="H25" i="22"/>
  <c r="H22" i="22"/>
  <c r="H18" i="22"/>
  <c r="H23" i="22"/>
  <c r="H26" i="22"/>
  <c r="H13" i="22"/>
  <c r="H24" i="22"/>
  <c r="J24" i="22" s="1"/>
  <c r="H20" i="22"/>
  <c r="H17" i="22"/>
  <c r="H15" i="22"/>
  <c r="J32" i="22"/>
  <c r="J31" i="22"/>
  <c r="J30" i="22"/>
  <c r="J29" i="22"/>
  <c r="J28" i="22"/>
  <c r="J27" i="22"/>
  <c r="J21" i="22"/>
  <c r="J25" i="22"/>
  <c r="J9" i="22" l="1"/>
  <c r="J13" i="22"/>
  <c r="J22" i="22"/>
  <c r="J20" i="22"/>
  <c r="J26" i="22"/>
  <c r="J19" i="22"/>
  <c r="J11" i="22"/>
  <c r="J23" i="22"/>
  <c r="J18" i="22"/>
  <c r="J17" i="22"/>
  <c r="J8" i="22"/>
  <c r="J15" i="22"/>
  <c r="I9" i="21" l="1"/>
  <c r="I6" i="21"/>
  <c r="I7" i="21"/>
  <c r="J7" i="21" s="1"/>
  <c r="I8" i="21"/>
  <c r="I5" i="21"/>
  <c r="I15" i="21"/>
  <c r="I12" i="21"/>
  <c r="I10" i="21"/>
  <c r="J10" i="21" s="1"/>
  <c r="J9" i="21"/>
  <c r="I14" i="21"/>
  <c r="I23" i="21"/>
  <c r="I22" i="21"/>
  <c r="I20" i="21"/>
  <c r="J20" i="21" s="1"/>
  <c r="J14" i="21"/>
  <c r="I11" i="21"/>
  <c r="I16" i="21"/>
  <c r="I17" i="21"/>
  <c r="J17" i="21" s="1"/>
  <c r="I13" i="21"/>
  <c r="I27" i="21"/>
  <c r="I21" i="21"/>
  <c r="I26" i="21"/>
  <c r="I25" i="21"/>
  <c r="I19" i="21"/>
  <c r="I24" i="21"/>
  <c r="I18" i="21"/>
  <c r="H10" i="21"/>
  <c r="H15" i="21"/>
  <c r="H12" i="21"/>
  <c r="J12" i="21" s="1"/>
  <c r="H7" i="21"/>
  <c r="H5" i="21"/>
  <c r="H6" i="21"/>
  <c r="H8" i="21"/>
  <c r="H16" i="21"/>
  <c r="J16" i="21" s="1"/>
  <c r="J5" i="21"/>
  <c r="H11" i="21"/>
  <c r="H20" i="21"/>
  <c r="H22" i="21"/>
  <c r="J22" i="21" s="1"/>
  <c r="H17" i="21"/>
  <c r="H9" i="21"/>
  <c r="H21" i="21"/>
  <c r="J21" i="21" s="1"/>
  <c r="H14" i="21"/>
  <c r="H26" i="21"/>
  <c r="J26" i="21" s="1"/>
  <c r="H27" i="21"/>
  <c r="H24" i="21"/>
  <c r="H25" i="21"/>
  <c r="J25" i="21" s="1"/>
  <c r="H23" i="21"/>
  <c r="H13" i="21"/>
  <c r="J13" i="21" s="1"/>
  <c r="H19" i="21"/>
  <c r="J19" i="21" s="1"/>
  <c r="J23" i="21"/>
  <c r="J32" i="21"/>
  <c r="J31" i="21"/>
  <c r="J30" i="21"/>
  <c r="J29" i="21"/>
  <c r="J18" i="21"/>
  <c r="J24" i="21"/>
  <c r="J28" i="21"/>
  <c r="J11" i="21"/>
  <c r="J6" i="21" l="1"/>
  <c r="J15" i="21"/>
  <c r="J8" i="21"/>
  <c r="J27" i="21"/>
  <c r="H5" i="20" l="1"/>
  <c r="I5" i="20"/>
  <c r="J5" i="20"/>
  <c r="H6" i="20"/>
  <c r="I6" i="20"/>
  <c r="J6" i="20" s="1"/>
  <c r="I16" i="20"/>
  <c r="I7" i="20"/>
  <c r="I12" i="20"/>
  <c r="I11" i="20"/>
  <c r="I15" i="20"/>
  <c r="I8" i="20"/>
  <c r="I18" i="20"/>
  <c r="I9" i="20"/>
  <c r="I24" i="20"/>
  <c r="I19" i="20"/>
  <c r="I20" i="20"/>
  <c r="I10" i="20"/>
  <c r="I22" i="20"/>
  <c r="I13" i="20"/>
  <c r="I17" i="20"/>
  <c r="I14" i="20"/>
  <c r="I31" i="20"/>
  <c r="I28" i="20"/>
  <c r="I29" i="20"/>
  <c r="I30" i="20"/>
  <c r="I27" i="20"/>
  <c r="I25" i="20"/>
  <c r="I23" i="20"/>
  <c r="I21" i="20"/>
  <c r="I26" i="20"/>
  <c r="H12" i="20"/>
  <c r="H7" i="20"/>
  <c r="H11" i="20"/>
  <c r="H13" i="20"/>
  <c r="H16" i="20"/>
  <c r="H8" i="20"/>
  <c r="H10" i="20"/>
  <c r="H18" i="20"/>
  <c r="H17" i="20"/>
  <c r="H22" i="20"/>
  <c r="H19" i="20"/>
  <c r="H14" i="20"/>
  <c r="H23" i="20"/>
  <c r="H20" i="20"/>
  <c r="H15" i="20"/>
  <c r="H9" i="20"/>
  <c r="H28" i="20"/>
  <c r="H31" i="20"/>
  <c r="H30" i="20"/>
  <c r="H26" i="20"/>
  <c r="H25" i="20"/>
  <c r="H24" i="20"/>
  <c r="H27" i="20"/>
  <c r="H29" i="20"/>
  <c r="H21" i="20"/>
  <c r="J32" i="20" l="1"/>
  <c r="J11" i="20"/>
  <c r="J22" i="20"/>
  <c r="J30" i="20"/>
  <c r="J19" i="20"/>
  <c r="J15" i="20"/>
  <c r="J25" i="20"/>
  <c r="J10" i="20"/>
  <c r="J13" i="20"/>
  <c r="J17" i="20"/>
  <c r="J12" i="20"/>
  <c r="J18" i="20"/>
  <c r="J20" i="20"/>
  <c r="J28" i="20"/>
  <c r="J8" i="20"/>
  <c r="J23" i="20"/>
  <c r="J26" i="20"/>
  <c r="J27" i="20"/>
  <c r="J16" i="20"/>
  <c r="J9" i="20"/>
  <c r="J21" i="20"/>
  <c r="J7" i="20"/>
  <c r="J29" i="20"/>
  <c r="J14" i="20"/>
  <c r="J31" i="20"/>
  <c r="J24" i="20"/>
  <c r="H5" i="18" l="1"/>
  <c r="I5" i="18"/>
  <c r="J5" i="18"/>
  <c r="H7" i="18"/>
  <c r="I7" i="18"/>
  <c r="J7" i="18"/>
  <c r="I8" i="18"/>
  <c r="I10" i="18"/>
  <c r="I6" i="18"/>
  <c r="I19" i="18"/>
  <c r="I14" i="18"/>
  <c r="I20" i="18"/>
  <c r="I27" i="18"/>
  <c r="I21" i="18"/>
  <c r="I11" i="18"/>
  <c r="I16" i="18"/>
  <c r="I13" i="18"/>
  <c r="I28" i="18"/>
  <c r="I17" i="18"/>
  <c r="I18" i="18"/>
  <c r="I23" i="18"/>
  <c r="H14" i="18"/>
  <c r="H9" i="18"/>
  <c r="H6" i="18"/>
  <c r="H19" i="18"/>
  <c r="H15" i="18"/>
  <c r="H20" i="18"/>
  <c r="H21" i="18"/>
  <c r="H13" i="18"/>
  <c r="H10" i="18"/>
  <c r="H25" i="18"/>
  <c r="H18" i="18"/>
  <c r="H17" i="18"/>
  <c r="H16" i="18"/>
  <c r="H12" i="18"/>
  <c r="H8" i="18"/>
  <c r="H30" i="18"/>
  <c r="H29" i="18"/>
  <c r="H28" i="18"/>
  <c r="H23" i="18"/>
  <c r="H22" i="18"/>
  <c r="H27" i="18"/>
  <c r="K19" i="19"/>
  <c r="J19" i="19"/>
  <c r="J20" i="19" s="1"/>
  <c r="I19" i="19"/>
  <c r="I20" i="19" s="1"/>
  <c r="I21" i="19" s="1"/>
  <c r="H19" i="19"/>
  <c r="H20" i="19" s="1"/>
  <c r="H21" i="19" s="1"/>
  <c r="H22" i="19" s="1"/>
  <c r="G19" i="19"/>
  <c r="G20" i="19" s="1"/>
  <c r="G21" i="19" s="1"/>
  <c r="G22" i="19" s="1"/>
  <c r="G23" i="19" s="1"/>
  <c r="F19" i="19"/>
  <c r="F20" i="19" s="1"/>
  <c r="F21" i="19" s="1"/>
  <c r="F22" i="19" s="1"/>
  <c r="F23" i="19" s="1"/>
  <c r="E19" i="19"/>
  <c r="E20" i="19" s="1"/>
  <c r="E21" i="19" s="1"/>
  <c r="E22" i="19" s="1"/>
  <c r="E23" i="19" s="1"/>
  <c r="E24" i="19" s="1"/>
  <c r="E25" i="19" s="1"/>
  <c r="D19" i="19"/>
  <c r="D20" i="19" s="1"/>
  <c r="D21" i="19" s="1"/>
  <c r="D22" i="19" s="1"/>
  <c r="D23" i="19" s="1"/>
  <c r="D24" i="19" s="1"/>
  <c r="D25" i="19" s="1"/>
  <c r="D26" i="19" s="1"/>
  <c r="J43" i="18" l="1"/>
  <c r="J42" i="18"/>
  <c r="J41" i="18"/>
  <c r="J40" i="18"/>
  <c r="J39" i="18"/>
  <c r="J38" i="18"/>
  <c r="J37" i="18"/>
  <c r="J36" i="18"/>
  <c r="J35" i="18"/>
  <c r="J34" i="18"/>
  <c r="J30" i="18"/>
  <c r="J28" i="18"/>
  <c r="J20" i="18"/>
  <c r="J33" i="18"/>
  <c r="J8" i="18"/>
  <c r="J23" i="18"/>
  <c r="J6" i="18"/>
  <c r="J24" i="18"/>
  <c r="J15" i="18"/>
  <c r="J26" i="18"/>
  <c r="J27" i="18"/>
  <c r="J25" i="18"/>
  <c r="J31" i="18"/>
  <c r="J12" i="18"/>
  <c r="J21" i="18"/>
  <c r="J29" i="18"/>
  <c r="J11" i="18"/>
  <c r="J22" i="18"/>
  <c r="J32" i="18"/>
  <c r="J17" i="18"/>
  <c r="J16" i="18"/>
  <c r="J13" i="18"/>
  <c r="J9" i="18"/>
  <c r="J18" i="18"/>
  <c r="J14" i="18"/>
  <c r="J19" i="18"/>
  <c r="J10" i="18"/>
  <c r="I5" i="17" l="1"/>
  <c r="H5" i="17"/>
  <c r="J5" i="17"/>
  <c r="H6" i="17"/>
  <c r="I6" i="17"/>
  <c r="I8" i="17"/>
  <c r="I7" i="17"/>
  <c r="I11" i="17"/>
  <c r="I10" i="17"/>
  <c r="H8" i="17"/>
  <c r="J8" i="17" s="1"/>
  <c r="H10" i="17"/>
  <c r="J10" i="17" s="1"/>
  <c r="H11" i="17"/>
  <c r="I26" i="17"/>
  <c r="I24" i="17"/>
  <c r="I16" i="17"/>
  <c r="J16" i="17" s="1"/>
  <c r="I30" i="17"/>
  <c r="J30" i="17" s="1"/>
  <c r="I14" i="17"/>
  <c r="I12" i="17"/>
  <c r="I13" i="17"/>
  <c r="I20" i="17"/>
  <c r="I31" i="17"/>
  <c r="I32" i="17"/>
  <c r="J32" i="17" s="1"/>
  <c r="I34" i="17"/>
  <c r="I23" i="17"/>
  <c r="J23" i="17" s="1"/>
  <c r="I21" i="17"/>
  <c r="H12" i="17"/>
  <c r="J12" i="17" s="1"/>
  <c r="H14" i="17"/>
  <c r="H9" i="17"/>
  <c r="J9" i="17" s="1"/>
  <c r="H7" i="17"/>
  <c r="H36" i="17"/>
  <c r="J36" i="17" s="1"/>
  <c r="H35" i="17"/>
  <c r="J35" i="17" s="1"/>
  <c r="H33" i="17"/>
  <c r="J33" i="17" s="1"/>
  <c r="H25" i="17"/>
  <c r="H18" i="17"/>
  <c r="J18" i="17" s="1"/>
  <c r="H34" i="17"/>
  <c r="H29" i="17"/>
  <c r="J29" i="17" s="1"/>
  <c r="H21" i="17"/>
  <c r="J21" i="17" s="1"/>
  <c r="H31" i="17"/>
  <c r="J31" i="17" s="1"/>
  <c r="H30" i="17"/>
  <c r="H24" i="17"/>
  <c r="H26" i="17"/>
  <c r="H13" i="17"/>
  <c r="J13" i="17" s="1"/>
  <c r="H27" i="17"/>
  <c r="H19" i="17"/>
  <c r="J19" i="17" s="1"/>
  <c r="J17" i="17"/>
  <c r="J42" i="17"/>
  <c r="J43" i="17"/>
  <c r="J14" i="17"/>
  <c r="J28" i="17"/>
  <c r="J25" i="17"/>
  <c r="J22" i="17"/>
  <c r="J27" i="17"/>
  <c r="J41" i="17"/>
  <c r="J40" i="17"/>
  <c r="J39" i="17"/>
  <c r="J38" i="17"/>
  <c r="J20" i="17"/>
  <c r="J24" i="17"/>
  <c r="J37" i="17"/>
  <c r="J15" i="17"/>
  <c r="J6" i="17" l="1"/>
  <c r="J11" i="17"/>
  <c r="J7" i="17"/>
  <c r="J26" i="17"/>
  <c r="J34" i="17"/>
  <c r="H9" i="15"/>
  <c r="H19" i="15"/>
  <c r="H11" i="15"/>
  <c r="H8" i="15"/>
  <c r="H5" i="15"/>
  <c r="H7" i="15"/>
  <c r="H10" i="15"/>
  <c r="H20" i="15"/>
  <c r="H6" i="15"/>
  <c r="H15" i="15"/>
  <c r="H12" i="15"/>
  <c r="H24" i="15"/>
  <c r="H26" i="15"/>
  <c r="H22" i="15"/>
  <c r="H17" i="15"/>
  <c r="H29" i="15"/>
  <c r="H16" i="15"/>
  <c r="H34" i="15"/>
  <c r="H14" i="15"/>
  <c r="H18" i="15"/>
  <c r="H32" i="15"/>
  <c r="H30" i="15"/>
  <c r="H27" i="15"/>
  <c r="H31" i="15"/>
  <c r="H25" i="15"/>
  <c r="H13" i="15"/>
  <c r="H28" i="15"/>
  <c r="H23" i="15"/>
  <c r="H33" i="15"/>
  <c r="H21" i="15"/>
  <c r="G20" i="15"/>
  <c r="G7" i="15"/>
  <c r="G8" i="15"/>
  <c r="G19" i="15"/>
  <c r="G5" i="15"/>
  <c r="G10" i="15"/>
  <c r="G12" i="15"/>
  <c r="G9" i="15"/>
  <c r="G15" i="15"/>
  <c r="G18" i="15"/>
  <c r="G13" i="15"/>
  <c r="G11" i="15"/>
  <c r="G33" i="15"/>
  <c r="G21" i="15"/>
  <c r="G24" i="15"/>
  <c r="G34" i="15"/>
  <c r="G14" i="15"/>
  <c r="G6" i="15"/>
  <c r="G16" i="15"/>
  <c r="G17" i="15"/>
  <c r="G28" i="15"/>
  <c r="G32" i="15"/>
  <c r="G29" i="15"/>
  <c r="G23" i="15"/>
  <c r="G31" i="15"/>
  <c r="G30" i="15"/>
  <c r="G27" i="15"/>
  <c r="G25" i="15"/>
  <c r="G26" i="15"/>
  <c r="G22" i="15"/>
  <c r="I37" i="15" l="1"/>
  <c r="I36" i="15"/>
  <c r="I35" i="15"/>
  <c r="I31" i="15"/>
  <c r="I14" i="15"/>
  <c r="I24" i="15"/>
  <c r="I30" i="15"/>
  <c r="I7" i="15"/>
  <c r="I10" i="15"/>
  <c r="I22" i="15"/>
  <c r="I23" i="15"/>
  <c r="I26" i="15"/>
  <c r="I28" i="15"/>
  <c r="I21" i="15"/>
  <c r="I25" i="15"/>
  <c r="I5" i="15"/>
  <c r="I17" i="15"/>
  <c r="I16" i="15"/>
  <c r="I20" i="15"/>
  <c r="I6" i="15"/>
  <c r="I19" i="15"/>
  <c r="I18" i="15"/>
  <c r="I34" i="15"/>
  <c r="I15" i="15"/>
  <c r="I32" i="15"/>
  <c r="I27" i="15"/>
  <c r="I11" i="15"/>
  <c r="I33" i="15"/>
  <c r="I29" i="15"/>
  <c r="I13" i="15"/>
  <c r="I8" i="15"/>
  <c r="I12" i="15"/>
  <c r="I9" i="15"/>
  <c r="H13" i="14" l="1"/>
  <c r="H9" i="14"/>
  <c r="H11" i="14"/>
  <c r="H5" i="14"/>
  <c r="H6" i="14"/>
  <c r="H16" i="14"/>
  <c r="H12" i="14"/>
  <c r="H7" i="14"/>
  <c r="H15" i="14"/>
  <c r="H8" i="14"/>
  <c r="H10" i="14"/>
  <c r="H26" i="14"/>
  <c r="H29" i="14"/>
  <c r="H19" i="14"/>
  <c r="H18" i="14"/>
  <c r="H17" i="14"/>
  <c r="H14" i="14"/>
  <c r="H23" i="14"/>
  <c r="I23" i="14" s="1"/>
  <c r="I13" i="14"/>
  <c r="H21" i="14"/>
  <c r="I21" i="14" s="1"/>
  <c r="H30" i="14"/>
  <c r="H28" i="14"/>
  <c r="H22" i="14"/>
  <c r="H33" i="14"/>
  <c r="H27" i="14"/>
  <c r="H25" i="14"/>
  <c r="I25" i="14" s="1"/>
  <c r="H20" i="14"/>
  <c r="I20" i="14" s="1"/>
  <c r="H24" i="14"/>
  <c r="I24" i="14" s="1"/>
  <c r="H31" i="14"/>
  <c r="G11" i="14"/>
  <c r="G10" i="14"/>
  <c r="G5" i="14"/>
  <c r="I5" i="14" s="1"/>
  <c r="G12" i="14"/>
  <c r="G6" i="14"/>
  <c r="G26" i="14"/>
  <c r="G16" i="14"/>
  <c r="I16" i="14" s="1"/>
  <c r="G9" i="14"/>
  <c r="I9" i="14" s="1"/>
  <c r="G7" i="14"/>
  <c r="I7" i="14" s="1"/>
  <c r="G15" i="14"/>
  <c r="G8" i="14"/>
  <c r="G29" i="14"/>
  <c r="I29" i="14" s="1"/>
  <c r="G19" i="14"/>
  <c r="I19" i="14" s="1"/>
  <c r="G18" i="14"/>
  <c r="G17" i="14"/>
  <c r="I17" i="14" s="1"/>
  <c r="G22" i="14"/>
  <c r="G14" i="14"/>
  <c r="G25" i="14"/>
  <c r="G23" i="14"/>
  <c r="G13" i="14"/>
  <c r="G21" i="14"/>
  <c r="G28" i="14"/>
  <c r="G33" i="14"/>
  <c r="G27" i="14"/>
  <c r="G24" i="14"/>
  <c r="G32" i="14"/>
  <c r="I32" i="14" s="1"/>
  <c r="G30" i="14"/>
  <c r="I30" i="14" s="1"/>
  <c r="G31" i="14"/>
  <c r="I43" i="14"/>
  <c r="I42" i="14"/>
  <c r="I41" i="14"/>
  <c r="I40" i="14"/>
  <c r="I39" i="14"/>
  <c r="I38" i="14"/>
  <c r="I37" i="14"/>
  <c r="I36" i="14"/>
  <c r="I35" i="14"/>
  <c r="I34" i="14"/>
  <c r="I26" i="14"/>
  <c r="I18" i="14"/>
  <c r="I28" i="14"/>
  <c r="I22" i="14"/>
  <c r="I33" i="14"/>
  <c r="I27" i="14"/>
  <c r="I14" i="14"/>
  <c r="I31" i="14"/>
  <c r="I6" i="14"/>
  <c r="I12" i="14" l="1"/>
  <c r="I15" i="14"/>
  <c r="I8" i="14"/>
  <c r="I10" i="14"/>
  <c r="I11" i="14"/>
  <c r="H21" i="13"/>
  <c r="H11" i="13"/>
  <c r="I11" i="13" s="1"/>
  <c r="H10" i="13"/>
  <c r="H5" i="13"/>
  <c r="I5" i="13" s="1"/>
  <c r="H8" i="13"/>
  <c r="H12" i="13"/>
  <c r="I12" i="13" s="1"/>
  <c r="H7" i="13"/>
  <c r="H6" i="13"/>
  <c r="H20" i="13"/>
  <c r="H32" i="13"/>
  <c r="H17" i="13"/>
  <c r="H18" i="13"/>
  <c r="I18" i="13" s="1"/>
  <c r="H26" i="13"/>
  <c r="H22" i="13"/>
  <c r="I22" i="13" s="1"/>
  <c r="I21" i="13"/>
  <c r="H15" i="13"/>
  <c r="H25" i="13"/>
  <c r="I25" i="13" s="1"/>
  <c r="H14" i="13"/>
  <c r="H33" i="13"/>
  <c r="I33" i="13" s="1"/>
  <c r="H24" i="13"/>
  <c r="H34" i="13"/>
  <c r="H30" i="13"/>
  <c r="H16" i="13"/>
  <c r="I16" i="13" s="1"/>
  <c r="H23" i="13"/>
  <c r="G10" i="13"/>
  <c r="I10" i="13" s="1"/>
  <c r="G11" i="13"/>
  <c r="G8" i="13"/>
  <c r="G5" i="13"/>
  <c r="G6" i="13"/>
  <c r="G16" i="13"/>
  <c r="G13" i="13"/>
  <c r="I13" i="13" s="1"/>
  <c r="G17" i="13"/>
  <c r="G12" i="13"/>
  <c r="G7" i="13"/>
  <c r="G23" i="13"/>
  <c r="G14" i="13"/>
  <c r="I14" i="13" s="1"/>
  <c r="G20" i="13"/>
  <c r="G19" i="13"/>
  <c r="G24" i="13"/>
  <c r="G18" i="13"/>
  <c r="G21" i="13"/>
  <c r="G9" i="13"/>
  <c r="I9" i="13" s="1"/>
  <c r="G15" i="13"/>
  <c r="G32" i="13"/>
  <c r="I32" i="13" s="1"/>
  <c r="G26" i="13"/>
  <c r="G22" i="13"/>
  <c r="G29" i="13"/>
  <c r="I34" i="13"/>
  <c r="I27" i="13"/>
  <c r="I29" i="13"/>
  <c r="I43" i="13"/>
  <c r="I31" i="13"/>
  <c r="I19" i="13"/>
  <c r="I7" i="13"/>
  <c r="I28" i="13"/>
  <c r="I6" i="13"/>
  <c r="I42" i="13"/>
  <c r="I30" i="13"/>
  <c r="I41" i="13"/>
  <c r="I15" i="13"/>
  <c r="I40" i="13"/>
  <c r="I39" i="13"/>
  <c r="I17" i="13"/>
  <c r="I23" i="13"/>
  <c r="I38" i="13"/>
  <c r="I37" i="13"/>
  <c r="I36" i="13"/>
  <c r="I35" i="13"/>
  <c r="I8" i="13"/>
  <c r="I20" i="13" l="1"/>
  <c r="I26" i="13"/>
  <c r="I24" i="13"/>
  <c r="H9" i="12"/>
  <c r="H11" i="12"/>
  <c r="H6" i="12"/>
  <c r="H12" i="12"/>
  <c r="H10" i="12"/>
  <c r="I10" i="12" s="1"/>
  <c r="H7" i="12"/>
  <c r="I7" i="12" s="1"/>
  <c r="H8" i="12"/>
  <c r="H15" i="12"/>
  <c r="H14" i="12"/>
  <c r="I14" i="12" s="1"/>
  <c r="H13" i="12"/>
  <c r="H5" i="12"/>
  <c r="H30" i="12"/>
  <c r="H24" i="12"/>
  <c r="I24" i="12" s="1"/>
  <c r="H22" i="12"/>
  <c r="H19" i="12"/>
  <c r="H16" i="12"/>
  <c r="H23" i="12"/>
  <c r="H20" i="12"/>
  <c r="H21" i="12"/>
  <c r="H17" i="12"/>
  <c r="G33" i="12"/>
  <c r="I33" i="12" s="1"/>
  <c r="G34" i="12"/>
  <c r="H34" i="12"/>
  <c r="H33" i="12"/>
  <c r="H31" i="12"/>
  <c r="H27" i="12"/>
  <c r="H25" i="12"/>
  <c r="I25" i="12" s="1"/>
  <c r="H29" i="12"/>
  <c r="H28" i="12"/>
  <c r="H26" i="12"/>
  <c r="H18" i="12"/>
  <c r="G15" i="12"/>
  <c r="G7" i="12"/>
  <c r="G9" i="12"/>
  <c r="G8" i="12"/>
  <c r="G6" i="12"/>
  <c r="I21" i="12"/>
  <c r="I27" i="12"/>
  <c r="I5" i="12"/>
  <c r="I30" i="12"/>
  <c r="I12" i="12"/>
  <c r="I26" i="12"/>
  <c r="I6" i="12"/>
  <c r="I11" i="12"/>
  <c r="I13" i="12"/>
  <c r="I18" i="12"/>
  <c r="I16" i="12"/>
  <c r="I9" i="12"/>
  <c r="I28" i="12"/>
  <c r="I31" i="12"/>
  <c r="I15" i="12"/>
  <c r="I17" i="12"/>
  <c r="I34" i="12"/>
  <c r="I22" i="12"/>
  <c r="I20" i="12"/>
  <c r="I29" i="12"/>
  <c r="I19" i="12"/>
  <c r="I23" i="12"/>
  <c r="I32" i="12"/>
  <c r="G19" i="12"/>
  <c r="G11" i="12"/>
  <c r="G14" i="12"/>
  <c r="G10" i="12"/>
  <c r="G12" i="12"/>
  <c r="G5" i="12"/>
  <c r="G24" i="12"/>
  <c r="G26" i="12"/>
  <c r="G21" i="12"/>
  <c r="G22" i="12"/>
  <c r="G17" i="12"/>
  <c r="G13" i="12"/>
  <c r="G20" i="12"/>
  <c r="G18" i="12"/>
  <c r="G16" i="12"/>
  <c r="G32" i="12"/>
  <c r="G28" i="12"/>
  <c r="G29" i="12"/>
  <c r="G31" i="12"/>
  <c r="G23" i="12"/>
  <c r="G25" i="12"/>
  <c r="G30" i="12"/>
  <c r="G27" i="12"/>
  <c r="I8" i="12" l="1"/>
  <c r="H7" i="5" l="1"/>
  <c r="I7" i="5" s="1"/>
  <c r="H6" i="5"/>
  <c r="I6" i="5" s="1"/>
  <c r="H13" i="5"/>
  <c r="H11" i="5"/>
  <c r="I11" i="5" s="1"/>
  <c r="H5" i="5"/>
  <c r="H10" i="5"/>
  <c r="I10" i="5" s="1"/>
  <c r="H15" i="5"/>
  <c r="I15" i="5" s="1"/>
  <c r="H9" i="5"/>
  <c r="I9" i="5" s="1"/>
  <c r="H12" i="5"/>
  <c r="H8" i="5"/>
  <c r="G14" i="5"/>
  <c r="H24" i="5"/>
  <c r="H22" i="5"/>
  <c r="I22" i="5" s="1"/>
  <c r="H21" i="5"/>
  <c r="H23" i="5"/>
  <c r="I23" i="5" s="1"/>
  <c r="H20" i="5"/>
  <c r="I20" i="5" s="1"/>
  <c r="H16" i="5"/>
  <c r="H18" i="5"/>
  <c r="H14" i="5"/>
  <c r="H19" i="5"/>
  <c r="H17" i="5"/>
  <c r="H34" i="5"/>
  <c r="I34" i="5" s="1"/>
  <c r="H33" i="5"/>
  <c r="H30" i="5"/>
  <c r="I30" i="5" s="1"/>
  <c r="H28" i="5"/>
  <c r="I28" i="5" s="1"/>
  <c r="H29" i="5"/>
  <c r="H31" i="5"/>
  <c r="H25" i="5"/>
  <c r="I25" i="5" s="1"/>
  <c r="H27" i="5"/>
  <c r="I27" i="5" s="1"/>
  <c r="H26" i="5"/>
  <c r="G8" i="5"/>
  <c r="I8" i="5" s="1"/>
  <c r="G5" i="5"/>
  <c r="G13" i="5"/>
  <c r="G11" i="5"/>
  <c r="G10" i="5"/>
  <c r="G6" i="5"/>
  <c r="G12" i="5"/>
  <c r="G21" i="5"/>
  <c r="G9" i="5"/>
  <c r="G16" i="5"/>
  <c r="G22" i="5"/>
  <c r="G23" i="5"/>
  <c r="G7" i="5"/>
  <c r="G15" i="5"/>
  <c r="G27" i="5"/>
  <c r="G19" i="5"/>
  <c r="G24" i="5"/>
  <c r="G17" i="5"/>
  <c r="G26" i="5"/>
  <c r="I26" i="5" s="1"/>
  <c r="G34" i="5"/>
  <c r="G33" i="5"/>
  <c r="G29" i="5"/>
  <c r="G25" i="5"/>
  <c r="I37" i="5"/>
  <c r="I21" i="5"/>
  <c r="I32" i="5"/>
  <c r="I33" i="5"/>
  <c r="I12" i="5"/>
  <c r="I29" i="5"/>
  <c r="I14" i="5"/>
  <c r="I36" i="5"/>
  <c r="I31" i="5"/>
  <c r="I16" i="5"/>
  <c r="I18" i="5"/>
  <c r="I13" i="5"/>
  <c r="I35" i="5"/>
  <c r="I17" i="5"/>
  <c r="I19" i="5"/>
  <c r="I24" i="5"/>
  <c r="H5" i="4" l="1"/>
  <c r="H15" i="4"/>
  <c r="H18" i="4"/>
  <c r="H7" i="4"/>
  <c r="H10" i="4"/>
  <c r="H8" i="4"/>
  <c r="H11" i="4"/>
  <c r="I11" i="4" s="1"/>
  <c r="H6" i="4"/>
  <c r="I7" i="4"/>
  <c r="H9" i="4"/>
  <c r="H13" i="4"/>
  <c r="H34" i="4"/>
  <c r="H27" i="4"/>
  <c r="H24" i="4"/>
  <c r="H14" i="4"/>
  <c r="I14" i="4" s="1"/>
  <c r="H17" i="4"/>
  <c r="H12" i="4"/>
  <c r="I12" i="4" s="1"/>
  <c r="H32" i="4"/>
  <c r="H33" i="4"/>
  <c r="I33" i="4" s="1"/>
  <c r="H28" i="4"/>
  <c r="H23" i="4"/>
  <c r="H19" i="4"/>
  <c r="H16" i="4"/>
  <c r="I16" i="4" s="1"/>
  <c r="H22" i="4"/>
  <c r="G8" i="4"/>
  <c r="G15" i="4"/>
  <c r="G6" i="4"/>
  <c r="G7" i="4"/>
  <c r="G5" i="4"/>
  <c r="I15" i="4"/>
  <c r="G18" i="4"/>
  <c r="G13" i="4"/>
  <c r="G10" i="4"/>
  <c r="G12" i="4"/>
  <c r="G34" i="4"/>
  <c r="I34" i="4" s="1"/>
  <c r="G29" i="4"/>
  <c r="G17" i="4"/>
  <c r="G25" i="4"/>
  <c r="I25" i="4" s="1"/>
  <c r="G27" i="4"/>
  <c r="G26" i="4"/>
  <c r="I26" i="4" s="1"/>
  <c r="G20" i="4"/>
  <c r="I20" i="4" s="1"/>
  <c r="G14" i="4"/>
  <c r="G9" i="4"/>
  <c r="G23" i="4"/>
  <c r="G24" i="4"/>
  <c r="I24" i="4" s="1"/>
  <c r="G30" i="4"/>
  <c r="G28" i="4"/>
  <c r="I28" i="4" s="1"/>
  <c r="G19" i="4"/>
  <c r="G32" i="4"/>
  <c r="I32" i="4" s="1"/>
  <c r="G16" i="4"/>
  <c r="I37" i="4"/>
  <c r="I23" i="4"/>
  <c r="I27" i="4"/>
  <c r="I21" i="4"/>
  <c r="I36" i="4"/>
  <c r="I9" i="4"/>
  <c r="I35" i="4"/>
  <c r="I29" i="4"/>
  <c r="I31" i="4"/>
  <c r="I22" i="4"/>
  <c r="I30" i="4"/>
  <c r="I13" i="4"/>
  <c r="I10" i="4" l="1"/>
  <c r="I19" i="4"/>
  <c r="I17" i="4"/>
  <c r="I6" i="4"/>
  <c r="I8" i="4"/>
  <c r="I18" i="4"/>
  <c r="I5" i="4"/>
  <c r="H7" i="3"/>
  <c r="H8" i="3"/>
  <c r="H16" i="3"/>
  <c r="H14" i="3"/>
  <c r="H13" i="3"/>
  <c r="I11" i="3"/>
  <c r="H11" i="3"/>
  <c r="I8" i="3"/>
  <c r="H5" i="3"/>
  <c r="I5" i="3" s="1"/>
  <c r="H9" i="3"/>
  <c r="H6" i="3"/>
  <c r="H19" i="3"/>
  <c r="G19" i="3"/>
  <c r="H20" i="3"/>
  <c r="H12" i="3"/>
  <c r="H10" i="3"/>
  <c r="H21" i="3"/>
  <c r="H24" i="3"/>
  <c r="I16" i="3"/>
  <c r="H23" i="3"/>
  <c r="H15" i="3"/>
  <c r="H22" i="3"/>
  <c r="H17" i="3"/>
  <c r="I13" i="3"/>
  <c r="H18" i="3"/>
  <c r="H25" i="3"/>
  <c r="H30" i="3"/>
  <c r="H28" i="3"/>
  <c r="H29" i="3"/>
  <c r="H32" i="3"/>
  <c r="I32" i="3" s="1"/>
  <c r="H31" i="3"/>
  <c r="H27" i="3"/>
  <c r="H26" i="3"/>
  <c r="G20" i="3"/>
  <c r="G8" i="3"/>
  <c r="G7" i="3"/>
  <c r="G5" i="3"/>
  <c r="G9" i="3"/>
  <c r="G6" i="3"/>
  <c r="G24" i="3"/>
  <c r="G23" i="3"/>
  <c r="G12" i="3"/>
  <c r="G22" i="3"/>
  <c r="G16" i="3"/>
  <c r="G18" i="3"/>
  <c r="G31" i="3"/>
  <c r="G33" i="3"/>
  <c r="G30" i="3"/>
  <c r="G32" i="3"/>
  <c r="G27" i="3"/>
  <c r="I27" i="3"/>
  <c r="G29" i="3"/>
  <c r="G21" i="3"/>
  <c r="I21" i="3" s="1"/>
  <c r="G26" i="3"/>
  <c r="I38" i="3"/>
  <c r="I25" i="3"/>
  <c r="I30" i="3"/>
  <c r="I9" i="3"/>
  <c r="I37" i="3"/>
  <c r="I6" i="3"/>
  <c r="I28" i="3"/>
  <c r="I29" i="3"/>
  <c r="I36" i="3"/>
  <c r="I19" i="3"/>
  <c r="I20" i="3"/>
  <c r="I7" i="3"/>
  <c r="I31" i="3"/>
  <c r="I23" i="3"/>
  <c r="I15" i="3"/>
  <c r="I35" i="3"/>
  <c r="I14" i="3"/>
  <c r="I33" i="3"/>
  <c r="I12" i="3"/>
  <c r="I22" i="3"/>
  <c r="I34" i="3"/>
  <c r="I17" i="3"/>
  <c r="I10" i="3"/>
  <c r="I18" i="3"/>
  <c r="I26" i="3"/>
  <c r="I24" i="3" l="1"/>
  <c r="H23" i="2"/>
  <c r="H20" i="2"/>
  <c r="H5" i="2"/>
  <c r="H19" i="2"/>
  <c r="H14" i="2"/>
  <c r="H9" i="2"/>
  <c r="H10" i="2"/>
  <c r="I10" i="2" s="1"/>
  <c r="H6" i="2"/>
  <c r="H15" i="2"/>
  <c r="H12" i="2"/>
  <c r="H7" i="2"/>
  <c r="H16" i="2"/>
  <c r="H8" i="2"/>
  <c r="H22" i="2"/>
  <c r="H24" i="2"/>
  <c r="H25" i="2"/>
  <c r="H26" i="2"/>
  <c r="H17" i="2"/>
  <c r="H11" i="2"/>
  <c r="I20" i="2"/>
  <c r="H13" i="2"/>
  <c r="H18" i="2"/>
  <c r="H29" i="2"/>
  <c r="H34" i="2"/>
  <c r="H35" i="2"/>
  <c r="H36" i="2"/>
  <c r="H30" i="2"/>
  <c r="H27" i="2"/>
  <c r="H31" i="2"/>
  <c r="H28" i="2"/>
  <c r="H21" i="2"/>
  <c r="G9" i="2"/>
  <c r="G8" i="2"/>
  <c r="I8" i="2" s="1"/>
  <c r="G10" i="2"/>
  <c r="G6" i="2"/>
  <c r="I6" i="2" s="1"/>
  <c r="G36" i="2"/>
  <c r="G34" i="2"/>
  <c r="G11" i="2"/>
  <c r="G5" i="2"/>
  <c r="I5" i="2" s="1"/>
  <c r="G12" i="2"/>
  <c r="G7" i="2"/>
  <c r="G13" i="2"/>
  <c r="G19" i="2"/>
  <c r="G25" i="2"/>
  <c r="G26" i="2"/>
  <c r="G21" i="2"/>
  <c r="I21" i="2" s="1"/>
  <c r="G14" i="2"/>
  <c r="I14" i="2" s="1"/>
  <c r="G20" i="2"/>
  <c r="G16" i="2"/>
  <c r="I16" i="2" s="1"/>
  <c r="G22" i="2"/>
  <c r="G18" i="2"/>
  <c r="G15" i="2"/>
  <c r="G17" i="2"/>
  <c r="I17" i="2" s="1"/>
  <c r="G30" i="2"/>
  <c r="G31" i="2"/>
  <c r="G35" i="2"/>
  <c r="I35" i="2" s="1"/>
  <c r="I36" i="2"/>
  <c r="G28" i="2"/>
  <c r="G29" i="2"/>
  <c r="G27" i="2"/>
  <c r="G23" i="2"/>
  <c r="I23" i="2" s="1"/>
  <c r="G24" i="2"/>
  <c r="I32" i="2"/>
  <c r="I33" i="2"/>
  <c r="I37" i="2"/>
  <c r="I34" i="2"/>
  <c r="I12" i="2"/>
  <c r="I22" i="2"/>
  <c r="I27" i="2"/>
  <c r="I13" i="2"/>
  <c r="I18" i="2"/>
  <c r="I7" i="2" l="1"/>
  <c r="I15" i="2"/>
  <c r="I30" i="2"/>
  <c r="I29" i="2"/>
  <c r="I26" i="2"/>
  <c r="I24" i="2"/>
  <c r="I9" i="2"/>
  <c r="I19" i="2"/>
  <c r="I25" i="2"/>
  <c r="I11" i="2"/>
  <c r="I31" i="2"/>
  <c r="I28" i="2"/>
  <c r="G5" i="1"/>
  <c r="G13" i="1"/>
  <c r="G10" i="1"/>
  <c r="G6" i="1"/>
  <c r="G11" i="1"/>
  <c r="G7" i="1"/>
  <c r="G14" i="1"/>
  <c r="G9" i="1"/>
  <c r="G18" i="1"/>
  <c r="H8" i="1"/>
  <c r="H7" i="1"/>
  <c r="H9" i="1"/>
  <c r="H6" i="1"/>
  <c r="H5" i="1"/>
  <c r="H16" i="1"/>
  <c r="H11" i="1"/>
  <c r="H17" i="1"/>
  <c r="H13" i="1"/>
  <c r="H10" i="1"/>
  <c r="H20" i="1"/>
  <c r="H21" i="1"/>
  <c r="H23" i="1"/>
  <c r="H15" i="1"/>
  <c r="H19" i="1"/>
  <c r="H32" i="1"/>
  <c r="H27" i="1"/>
  <c r="H24" i="1"/>
  <c r="H28" i="1"/>
  <c r="H26" i="1"/>
  <c r="H12" i="1"/>
  <c r="G8" i="1"/>
  <c r="G15" i="1"/>
  <c r="G12" i="1"/>
  <c r="G27" i="1"/>
  <c r="G22" i="1"/>
  <c r="G17" i="1"/>
  <c r="G28" i="1"/>
  <c r="I28" i="1" s="1"/>
  <c r="G16" i="1"/>
  <c r="G23" i="1"/>
  <c r="G30" i="1"/>
  <c r="G29" i="1"/>
  <c r="G26" i="1"/>
  <c r="G19" i="1"/>
  <c r="G24" i="1"/>
  <c r="G21" i="1"/>
  <c r="I34" i="1"/>
  <c r="I14" i="1"/>
  <c r="I31" i="1"/>
  <c r="I5" i="1"/>
  <c r="I8" i="1"/>
  <c r="I18" i="1" l="1"/>
  <c r="I6" i="1"/>
  <c r="I10" i="1"/>
  <c r="I27" i="1"/>
  <c r="I19" i="1"/>
  <c r="I20" i="1"/>
  <c r="I15" i="1"/>
  <c r="I25" i="1"/>
  <c r="I16" i="1"/>
  <c r="I7" i="1"/>
  <c r="I21" i="1"/>
  <c r="I22" i="1"/>
  <c r="I32" i="1"/>
  <c r="I30" i="1"/>
  <c r="I29" i="1"/>
  <c r="I23" i="1"/>
  <c r="I13" i="1"/>
  <c r="I12" i="1"/>
  <c r="I9" i="1"/>
  <c r="I17" i="1"/>
  <c r="I11" i="1"/>
  <c r="I24" i="1"/>
  <c r="I26" i="1"/>
  <c r="I33" i="1"/>
</calcChain>
</file>

<file path=xl/sharedStrings.xml><?xml version="1.0" encoding="utf-8"?>
<sst xmlns="http://schemas.openxmlformats.org/spreadsheetml/2006/main" count="896" uniqueCount="297">
  <si>
    <t>Участник</t>
  </si>
  <si>
    <t>Квала</t>
  </si>
  <si>
    <t>Очки</t>
  </si>
  <si>
    <t>Сумма</t>
  </si>
  <si>
    <t>довес</t>
  </si>
  <si>
    <t>-</t>
  </si>
  <si>
    <t>Онащук Максим</t>
  </si>
  <si>
    <t>Лантушенко Игорь</t>
  </si>
  <si>
    <t>Буркацкий Саша</t>
  </si>
  <si>
    <t>Джемула Сергей</t>
  </si>
  <si>
    <t>Мельник Денис</t>
  </si>
  <si>
    <t>Майбродский Миша</t>
  </si>
  <si>
    <t>Рожков Олег</t>
  </si>
  <si>
    <t>Белецкий Евгений</t>
  </si>
  <si>
    <t>Киктенко Юра</t>
  </si>
  <si>
    <t>Седнин Роман</t>
  </si>
  <si>
    <t>Волошин Алексей</t>
  </si>
  <si>
    <t>Пит</t>
  </si>
  <si>
    <t>Крыж Мирослав</t>
  </si>
  <si>
    <t>Хлопонин Андрей</t>
  </si>
  <si>
    <t>Дарий Игорь</t>
  </si>
  <si>
    <t>Пархомчук Саша</t>
  </si>
  <si>
    <t>Клименко Дима</t>
  </si>
  <si>
    <t>Шутка Виталий</t>
  </si>
  <si>
    <t>Веселов Сергей</t>
  </si>
  <si>
    <t>Веселов Антон</t>
  </si>
  <si>
    <t>Булавинов Андрей</t>
  </si>
  <si>
    <t>Мандзюк Артур</t>
  </si>
  <si>
    <t>Григорьев Гена</t>
  </si>
  <si>
    <t>Синани Влад</t>
  </si>
  <si>
    <t>Свидзинский Роман</t>
  </si>
  <si>
    <t>Линнык Владимир</t>
  </si>
  <si>
    <t>Гриць</t>
  </si>
  <si>
    <t>Весельский Александр</t>
  </si>
  <si>
    <t>Лайт Лига 21.06.2016 (конфигурация 10 R)</t>
  </si>
  <si>
    <t>Лайт Лига 28.06.2016 (конфигурация 7)</t>
  </si>
  <si>
    <t>Яценко Володимир</t>
  </si>
  <si>
    <t>Лабунский Алексей</t>
  </si>
  <si>
    <t>Мурыгин Сергей</t>
  </si>
  <si>
    <t>Сычевский Сергей</t>
  </si>
  <si>
    <t>Дубас Владислав</t>
  </si>
  <si>
    <t>Закалюк Евгений</t>
  </si>
  <si>
    <t>Кошарук Женя</t>
  </si>
  <si>
    <t>Макаров Михаил</t>
  </si>
  <si>
    <t>Буркацкий Александр</t>
  </si>
  <si>
    <t xml:space="preserve">Шапран Вячеслав </t>
  </si>
  <si>
    <t>Шапран Вадим</t>
  </si>
  <si>
    <t>Трофименко Ваня</t>
  </si>
  <si>
    <t>Лихошерст Алексей</t>
  </si>
  <si>
    <t>Ищук Сергей</t>
  </si>
  <si>
    <t>Кириченко Сергей</t>
  </si>
  <si>
    <t>Пархомчук Александр</t>
  </si>
  <si>
    <t>Кузнецов Слава</t>
  </si>
  <si>
    <t>Костюк Максим</t>
  </si>
  <si>
    <t>Клименко Дмитрий</t>
  </si>
  <si>
    <t>Плакидюк Виталик</t>
  </si>
  <si>
    <t xml:space="preserve">Свидзинский Марьян </t>
  </si>
  <si>
    <t>Якубовский Саша</t>
  </si>
  <si>
    <t>Сомов Александр</t>
  </si>
  <si>
    <t>Доценко Анатолий</t>
  </si>
  <si>
    <t>Илона</t>
  </si>
  <si>
    <t>Шкребтий Вова</t>
  </si>
  <si>
    <t>Фаль Александр</t>
  </si>
  <si>
    <t>Места</t>
  </si>
  <si>
    <t>Муляр Андрей / Mular Andrew</t>
  </si>
  <si>
    <t>Белозор Виталий / Belozor Vitaliy</t>
  </si>
  <si>
    <t>Билецкий Женя / Biletskyi Ievgen</t>
  </si>
  <si>
    <t>Буркацкий Саша / Burkatskiy Alexander</t>
  </si>
  <si>
    <t>Гободи Курош / Gobadi Kourosh</t>
  </si>
  <si>
    <t>Дарий Игорь / Dariy Igor</t>
  </si>
  <si>
    <t>Ищук Сергей / Ischuk Sergey</t>
  </si>
  <si>
    <t>Кириченко Сергей / Kirichenko Sergey</t>
  </si>
  <si>
    <t>Кошарук Евгений / Kosharuk Eugene</t>
  </si>
  <si>
    <t>Лантушенко Игорь / Lantushenko Ihor</t>
  </si>
  <si>
    <t>Линнык Володя / Linnyk Vlad</t>
  </si>
  <si>
    <t>Макаров Михаил / Mezhievskiy Sergey</t>
  </si>
  <si>
    <t>Межиевский Сергей / Mezhievskiy Sergey</t>
  </si>
  <si>
    <t>Пархомчук Саша / Parhomchuk Alexander</t>
  </si>
  <si>
    <t>Пилатов Сергей / Pilatov Sergii</t>
  </si>
  <si>
    <t>Плакидюк Виталий / Plakydiuk Vitalii</t>
  </si>
  <si>
    <t>Трофименко Иван / Trofimenko Ivan</t>
  </si>
  <si>
    <t>Францишко Андрей / Frantsishko Andrey</t>
  </si>
  <si>
    <t>Хлопонин Андрей / Khloponin Andrew</t>
  </si>
  <si>
    <t>Лабинский Николай / Labinskiy Nikolay</t>
  </si>
  <si>
    <t>Дубас Влад / Dubas Vladislav</t>
  </si>
  <si>
    <t>Губрий Юрий / Gubrii Iurii</t>
  </si>
  <si>
    <t>Кусайко Влад / Kusayko Vladyslav</t>
  </si>
  <si>
    <t>Мельник Денис / Melnik Denis</t>
  </si>
  <si>
    <t>Морозов Андрей / Morozov Andrey</t>
  </si>
  <si>
    <t>Лайт Лига 28.06.2016 (конфигурация 9)</t>
  </si>
  <si>
    <t>Лайт Лига 12.07.2016 (конфигурация 6R)</t>
  </si>
  <si>
    <t>Ильяшенко Владимир</t>
  </si>
  <si>
    <t>Черныш Саша</t>
  </si>
  <si>
    <t>Халецкий Евгений</t>
  </si>
  <si>
    <t>Зуев Иван</t>
  </si>
  <si>
    <t>Чернышов Игорь</t>
  </si>
  <si>
    <t>Яремич Даниил</t>
  </si>
  <si>
    <t>Джемула Сергей / Dzhemula Sergey</t>
  </si>
  <si>
    <t>Киктенко Юра / Kiktenko Yuri</t>
  </si>
  <si>
    <t>Доценко Анатолий / Dotsenko Anatolii</t>
  </si>
  <si>
    <t>Джелали Антон / Dzhelali Anton</t>
  </si>
  <si>
    <t>Костюк Максим / Kostiuk Maksim</t>
  </si>
  <si>
    <t>Строна Илона / Strona Ilona</t>
  </si>
  <si>
    <t>Воротиленко Саша / Vorotilenko Alexandr</t>
  </si>
  <si>
    <t>Котелинец Александр / Kotelinets Alexandr</t>
  </si>
  <si>
    <t>Декало Стас / Dekalo Stas</t>
  </si>
  <si>
    <t>Евстратьев Максим / Evstratiev Maksim</t>
  </si>
  <si>
    <t>Царенко Андрей / Tsarenko Andrey</t>
  </si>
  <si>
    <t>Лайт Лига 12.07.2016 (конфигурация 5R)</t>
  </si>
  <si>
    <t>Лихошерст Алексей / Lychosherst Aleksey</t>
  </si>
  <si>
    <t>Фортуна Таня / Fortuna Tanya</t>
  </si>
  <si>
    <t>Крыж Мирослав / Kryzh Myroslav</t>
  </si>
  <si>
    <t>Звягин Горигорий / Zvyagin Grisha</t>
  </si>
  <si>
    <t>Прокудин Станислав / Prokudin Stanislav</t>
  </si>
  <si>
    <t>Григорьев Гена  / Grigoriev Gennadiy</t>
  </si>
  <si>
    <t>Костюк Максим / Kostuk Maxim</t>
  </si>
  <si>
    <t>Майбродский Миша / Maibrodsky Misha</t>
  </si>
  <si>
    <t>Мандзюк Артур / Mandzuk Artur</t>
  </si>
  <si>
    <t>Мурыгин Сергей / Muryhin Serhii</t>
  </si>
  <si>
    <t>Рожков Олег / Rozhkov Oleg</t>
  </si>
  <si>
    <t>Сычевский Сергей / Sychevskiy Sergey</t>
  </si>
  <si>
    <t>Яремич Даниил / Yaremych Daniil</t>
  </si>
  <si>
    <t>Булавинов Андрей / Bulavinov Andrii</t>
  </si>
  <si>
    <t>Коруз Вадим / Koruz Vadim</t>
  </si>
  <si>
    <t>Закалюк Евгений / Zakaliuk Evgeniy</t>
  </si>
  <si>
    <t>Лайт Лига 26.07.2016 (конфигурация 3R)</t>
  </si>
  <si>
    <t>Потапов Сергей</t>
  </si>
  <si>
    <t>Грабовский Валентин</t>
  </si>
  <si>
    <t>Негрыйко Валера</t>
  </si>
  <si>
    <t>Данилов Дмитрий</t>
  </si>
  <si>
    <t>Лантушенко Игорь Lantushenko Ihor</t>
  </si>
  <si>
    <t>Хлопонин Андрей/ Khloponin Andrew</t>
  </si>
  <si>
    <t>Дарий Игорь/ Dariy Igor</t>
  </si>
  <si>
    <t>Строна Илона</t>
  </si>
  <si>
    <t>Муляр Андрей</t>
  </si>
  <si>
    <t>Сидаш Сергей</t>
  </si>
  <si>
    <t>Майбродский Михаил</t>
  </si>
  <si>
    <t>Клец Вадим</t>
  </si>
  <si>
    <t>Гаврик Андрей</t>
  </si>
  <si>
    <t>Прокудин Станислав</t>
  </si>
  <si>
    <t>Рожков Олег/ Rozhkov Oleg</t>
  </si>
  <si>
    <t>Фортуна Таня/ Fortuna Tanya</t>
  </si>
  <si>
    <t>Лайт Лига 02.08.2016 (конфигурация 2)</t>
  </si>
  <si>
    <t>Веселов Антон / Veselov Anton</t>
  </si>
  <si>
    <t>Додчук Максим</t>
  </si>
  <si>
    <t>Шумарин Андрей</t>
  </si>
  <si>
    <t>Комаров</t>
  </si>
  <si>
    <t>Макаров Миша / Makarov Mike</t>
  </si>
  <si>
    <t>Войт Владимир</t>
  </si>
  <si>
    <t>Котелинец Павел</t>
  </si>
  <si>
    <t>Пилипчук Василий</t>
  </si>
  <si>
    <t>Дорофий Николай</t>
  </si>
  <si>
    <t>Декало Станислав / Dekalo Stanislav</t>
  </si>
  <si>
    <t>Зуй Кирилл</t>
  </si>
  <si>
    <t>Корчагин Андрей / korchagin Andriy</t>
  </si>
  <si>
    <t>Левченко Вадим / Levchenko Vadim</t>
  </si>
  <si>
    <t>Потапенко Вячеслав / Potapenko Vyacheslav</t>
  </si>
  <si>
    <t>Ключник Александр / Kluchnik Alexandr</t>
  </si>
  <si>
    <t>Саенко Дима / Sayenko Dima</t>
  </si>
  <si>
    <t>Мельник-Саевич / Melnik-Sayevich Vadim</t>
  </si>
  <si>
    <t>Потапенко Вячеслав</t>
  </si>
  <si>
    <t>Мифтахутдинов Рафаэль</t>
  </si>
  <si>
    <t>Калашников Глеб</t>
  </si>
  <si>
    <t>Титов Влад</t>
  </si>
  <si>
    <t>Горбоконь Андрей</t>
  </si>
  <si>
    <t>Balaz Filip</t>
  </si>
  <si>
    <t>Давтян Карен</t>
  </si>
  <si>
    <t>Фортуна Таня</t>
  </si>
  <si>
    <t>Шапран Вячеслав</t>
  </si>
  <si>
    <t>Ревчук Леша</t>
  </si>
  <si>
    <t>Морозов Андрей</t>
  </si>
  <si>
    <t>Загирський Антон</t>
  </si>
  <si>
    <t>Фортуна</t>
  </si>
  <si>
    <t>Кардаш Виталий</t>
  </si>
  <si>
    <t>Потапенко Владислав</t>
  </si>
  <si>
    <t>Межиевский Сергей</t>
  </si>
  <si>
    <t>Калинка Виталий</t>
  </si>
  <si>
    <t>Лайт Лига 16.08.2016 (конфигурация 5)</t>
  </si>
  <si>
    <t>Кулинич Игорь</t>
  </si>
  <si>
    <t>Коруз Вадим</t>
  </si>
  <si>
    <t>Линник Владимир</t>
  </si>
  <si>
    <t>Зосим Вика</t>
  </si>
  <si>
    <t>Остапец Сергей</t>
  </si>
  <si>
    <t>Котилинец Саша</t>
  </si>
  <si>
    <t>Ревчук Алексей</t>
  </si>
  <si>
    <t>Ревчук Александр</t>
  </si>
  <si>
    <t>Сапижак Андрей</t>
  </si>
  <si>
    <t>Лайт Лига 30.08.2016 (конфигурация 5R)</t>
  </si>
  <si>
    <t>Чередниченко Дмитрий</t>
  </si>
  <si>
    <t>Фролов Ярослав</t>
  </si>
  <si>
    <t>Кузюк Роман</t>
  </si>
  <si>
    <t>Наум</t>
  </si>
  <si>
    <t>Петушков Гена</t>
  </si>
  <si>
    <t>Яременко Юрий</t>
  </si>
  <si>
    <t>Луцив Александр</t>
  </si>
  <si>
    <t>Купцов Павел</t>
  </si>
  <si>
    <t>Трофименко Иван</t>
  </si>
  <si>
    <t>Михайлик Михаил</t>
  </si>
  <si>
    <t>Фарбун Женя</t>
  </si>
  <si>
    <t>Терещенко Женя</t>
  </si>
  <si>
    <t>Фалько Костя</t>
  </si>
  <si>
    <t>Клименко Богодар</t>
  </si>
  <si>
    <t>Клименко Марьян</t>
  </si>
  <si>
    <t>Закалюк Женя</t>
  </si>
  <si>
    <t>Левковский Дмитрий</t>
  </si>
  <si>
    <t>Корчагин Андрей</t>
  </si>
  <si>
    <t>Пикулин Паша</t>
  </si>
  <si>
    <t>Семенов Константин</t>
  </si>
  <si>
    <t>Пасечник Антон</t>
  </si>
  <si>
    <t>Гайдук Алексей</t>
  </si>
  <si>
    <t>Остренко  Стас</t>
  </si>
  <si>
    <t>Лайт Лига 06.09.2016 (конфигурация 4)</t>
  </si>
  <si>
    <t>Левадный Виктор</t>
  </si>
  <si>
    <t>Кошарук Евгений</t>
  </si>
  <si>
    <t>Толмачев Стас</t>
  </si>
  <si>
    <t>Мырза Сергей</t>
  </si>
  <si>
    <t>Чередниченко Дима</t>
  </si>
  <si>
    <t>Котелинец Саша</t>
  </si>
  <si>
    <t>Халецкий Женя</t>
  </si>
  <si>
    <t>29-30 человек</t>
  </si>
  <si>
    <t>26-27 человек</t>
  </si>
  <si>
    <t>23-24 человек</t>
  </si>
  <si>
    <t>I</t>
  </si>
  <si>
    <t>II</t>
  </si>
  <si>
    <t>III</t>
  </si>
  <si>
    <t>28 человек</t>
  </si>
  <si>
    <t>25 человек</t>
  </si>
  <si>
    <t>ОБГОНЫ</t>
  </si>
  <si>
    <t>I гр</t>
  </si>
  <si>
    <t>II гр</t>
  </si>
  <si>
    <t>III гр</t>
  </si>
  <si>
    <t>с 10</t>
  </si>
  <si>
    <t>с 9</t>
  </si>
  <si>
    <t>с 8</t>
  </si>
  <si>
    <t>с 7</t>
  </si>
  <si>
    <t>с 6</t>
  </si>
  <si>
    <t>с 5</t>
  </si>
  <si>
    <t>с 4</t>
  </si>
  <si>
    <t>с 3</t>
  </si>
  <si>
    <t>со 2</t>
  </si>
  <si>
    <t>Падалко Вова</t>
  </si>
  <si>
    <t>Русу Константин</t>
  </si>
  <si>
    <t>Никонова Алиса</t>
  </si>
  <si>
    <t>Лайт Лига 13.09.2016 (конфигурация 8)</t>
  </si>
  <si>
    <t>Михайлик Михайло</t>
  </si>
  <si>
    <t>Семенов Костя</t>
  </si>
  <si>
    <t>Джелали Антон</t>
  </si>
  <si>
    <t>Котелинец Александр</t>
  </si>
  <si>
    <t>Хавило Дима</t>
  </si>
  <si>
    <t>Дубас Влад</t>
  </si>
  <si>
    <t>Ланин Руслан</t>
  </si>
  <si>
    <t>Пикулин Павел</t>
  </si>
  <si>
    <t>Манило Денис</t>
  </si>
  <si>
    <t>Остремко Стас</t>
  </si>
  <si>
    <t>Лайт Лига 20.09.2016 (конфигурация 3)</t>
  </si>
  <si>
    <t>Царенко Андрей</t>
  </si>
  <si>
    <t>Воронюк Игорь</t>
  </si>
  <si>
    <t>Славик</t>
  </si>
  <si>
    <t>Лайт Лига 27.09.2016 (конфигурация 11)</t>
  </si>
  <si>
    <t>Деда Гена</t>
  </si>
  <si>
    <t>Гычко Игорь</t>
  </si>
  <si>
    <t>Мырза Серга</t>
  </si>
  <si>
    <t>Ваня</t>
  </si>
  <si>
    <t xml:space="preserve"> </t>
  </si>
  <si>
    <t>Яценко Владимир</t>
  </si>
  <si>
    <t>Холодов Вячеслав</t>
  </si>
  <si>
    <t>Гребенюк Олег</t>
  </si>
  <si>
    <t>Яременко Юра</t>
  </si>
  <si>
    <t>Плохов Игорь</t>
  </si>
  <si>
    <t>Коняшкин Денис</t>
  </si>
  <si>
    <t>Виталик</t>
  </si>
  <si>
    <t xml:space="preserve">  </t>
  </si>
  <si>
    <t>Шкарапута Никита</t>
  </si>
  <si>
    <t>Лайт Лига 11.10.2016 (конфигурация 7R)</t>
  </si>
  <si>
    <t>Полупан Вова</t>
  </si>
  <si>
    <t>Дымко Вячеслав</t>
  </si>
  <si>
    <t>Лайт Лига 18.10.2016 (конфигурация 3R)</t>
  </si>
  <si>
    <t>Сибирцев Иван</t>
  </si>
  <si>
    <t>Нагирняк Дима</t>
  </si>
  <si>
    <t>Валько Виталик</t>
  </si>
  <si>
    <t>Соболев Саша</t>
  </si>
  <si>
    <t>Метрик Рома</t>
  </si>
  <si>
    <t>Лайт Лига 25.10.2016 (конфигурация 10R)</t>
  </si>
  <si>
    <t>22-21 человек</t>
  </si>
  <si>
    <t>19-20 человек</t>
  </si>
  <si>
    <t>17-18 человек</t>
  </si>
  <si>
    <t>15-16 человек</t>
  </si>
  <si>
    <t>13-14 человек</t>
  </si>
  <si>
    <t>12-… человек</t>
  </si>
  <si>
    <t>с 11</t>
  </si>
  <si>
    <t>с 12</t>
  </si>
  <si>
    <t>Резанко Оля</t>
  </si>
  <si>
    <t>Дехтярук Саша</t>
  </si>
  <si>
    <t>Демчунь Мирослав</t>
  </si>
  <si>
    <t>Мирошник Александр</t>
  </si>
  <si>
    <t>Миронова Анастасия</t>
  </si>
  <si>
    <t>Дулин Антон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</si>
</sst>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b/>
      <sz val="16"/>
      <name val="Arial Cyr"/>
      <charset val="204"/>
    </font>
    <font>
      <b/>
      <sz val="12"/>
      <name val="Arial Cyr"/>
      <family val="2"/>
      <charset val="204"/>
    </font>
    <font>
      <b/>
      <sz val="12"/>
      <name val="Arial Cyr"/>
      <charset val="204"/>
    </font>
    <font>
      <sz val="12"/>
      <name val="Arial Cyr"/>
      <family val="2"/>
      <charset val="204"/>
    </font>
    <font>
      <sz val="12"/>
      <name val="Arial Cyr"/>
      <charset val="204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charset val="204"/>
      <scheme val="minor"/>
    </font>
    <font>
      <sz val="14"/>
      <name val="Arial Cyr"/>
      <family val="2"/>
      <charset val="204"/>
    </font>
    <font>
      <sz val="14"/>
      <color theme="1"/>
      <name val="Calibri"/>
      <family val="2"/>
      <scheme val="minor"/>
    </font>
    <font>
      <b/>
      <sz val="14"/>
      <name val="Arial Cyr"/>
      <family val="2"/>
      <charset val="204"/>
    </font>
    <font>
      <sz val="14"/>
      <name val="Arial Cyr"/>
      <charset val="204"/>
    </font>
    <font>
      <sz val="14"/>
      <color theme="1"/>
      <name val="Arial"/>
      <family val="2"/>
      <charset val="204"/>
    </font>
    <font>
      <sz val="14"/>
      <color theme="1"/>
      <name val="Arial Cyr"/>
      <charset val="204"/>
    </font>
    <font>
      <b/>
      <sz val="14"/>
      <name val="Arial"/>
      <family val="2"/>
      <charset val="204"/>
    </font>
    <font>
      <sz val="14"/>
      <name val="Arial"/>
      <family val="2"/>
      <charset val="204"/>
    </font>
    <font>
      <sz val="11"/>
      <color theme="1"/>
      <name val="Arial"/>
      <family val="2"/>
      <charset val="204"/>
    </font>
    <font>
      <sz val="10"/>
      <name val="Arial Cyr"/>
      <charset val="204"/>
    </font>
    <font>
      <b/>
      <sz val="10"/>
      <name val="Arial Cyr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53"/>
        <bgColor indexed="64"/>
      </patternFill>
    </fill>
  </fills>
  <borders count="6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</borders>
  <cellStyleXfs count="2">
    <xf numFmtId="0" fontId="0" fillId="0" borderId="0"/>
    <xf numFmtId="0" fontId="17" fillId="0" borderId="0"/>
  </cellStyleXfs>
  <cellXfs count="398">
    <xf numFmtId="0" fontId="0" fillId="0" borderId="0" xfId="0"/>
    <xf numFmtId="0" fontId="2" fillId="0" borderId="4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4" fillId="0" borderId="16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17" xfId="0" applyFont="1" applyBorder="1" applyAlignment="1">
      <alignment horizontal="center"/>
    </xf>
    <xf numFmtId="0" fontId="2" fillId="0" borderId="18" xfId="0" applyFont="1" applyBorder="1" applyAlignment="1">
      <alignment horizontal="center"/>
    </xf>
    <xf numFmtId="0" fontId="4" fillId="0" borderId="19" xfId="0" applyFont="1" applyBorder="1"/>
    <xf numFmtId="0" fontId="4" fillId="0" borderId="20" xfId="0" applyFont="1" applyBorder="1" applyAlignment="1">
      <alignment horizontal="center"/>
    </xf>
    <xf numFmtId="0" fontId="4" fillId="0" borderId="21" xfId="0" applyFont="1" applyBorder="1" applyAlignment="1">
      <alignment horizontal="center"/>
    </xf>
    <xf numFmtId="0" fontId="4" fillId="0" borderId="19" xfId="0" applyFont="1" applyBorder="1" applyAlignment="1">
      <alignment horizontal="center"/>
    </xf>
    <xf numFmtId="0" fontId="4" fillId="0" borderId="22" xfId="0" applyFont="1" applyBorder="1" applyAlignment="1">
      <alignment horizontal="center"/>
    </xf>
    <xf numFmtId="0" fontId="5" fillId="0" borderId="19" xfId="0" applyFont="1" applyBorder="1"/>
    <xf numFmtId="0" fontId="5" fillId="0" borderId="19" xfId="0" applyFont="1" applyFill="1" applyBorder="1"/>
    <xf numFmtId="0" fontId="2" fillId="0" borderId="23" xfId="0" applyFont="1" applyBorder="1" applyAlignment="1">
      <alignment horizontal="center"/>
    </xf>
    <xf numFmtId="0" fontId="4" fillId="0" borderId="25" xfId="0" applyFont="1" applyBorder="1" applyAlignment="1">
      <alignment horizontal="center"/>
    </xf>
    <xf numFmtId="0" fontId="4" fillId="0" borderId="26" xfId="0" applyFont="1" applyBorder="1" applyAlignment="1">
      <alignment horizontal="center"/>
    </xf>
    <xf numFmtId="0" fontId="4" fillId="0" borderId="24" xfId="0" applyFont="1" applyBorder="1" applyAlignment="1">
      <alignment horizontal="center"/>
    </xf>
    <xf numFmtId="0" fontId="4" fillId="0" borderId="27" xfId="0" applyFont="1" applyBorder="1" applyAlignment="1">
      <alignment horizontal="center"/>
    </xf>
    <xf numFmtId="0" fontId="4" fillId="0" borderId="19" xfId="0" applyFont="1" applyFill="1" applyBorder="1"/>
    <xf numFmtId="0" fontId="5" fillId="0" borderId="24" xfId="0" applyFont="1" applyFill="1" applyBorder="1"/>
    <xf numFmtId="0" fontId="2" fillId="0" borderId="28" xfId="0" applyFont="1" applyBorder="1" applyAlignment="1">
      <alignment horizontal="center"/>
    </xf>
    <xf numFmtId="0" fontId="5" fillId="0" borderId="29" xfId="0" applyFont="1" applyFill="1" applyBorder="1"/>
    <xf numFmtId="0" fontId="4" fillId="0" borderId="30" xfId="0" applyFont="1" applyBorder="1" applyAlignment="1">
      <alignment horizontal="center"/>
    </xf>
    <xf numFmtId="0" fontId="4" fillId="0" borderId="31" xfId="0" applyFont="1" applyBorder="1" applyAlignment="1">
      <alignment horizontal="center"/>
    </xf>
    <xf numFmtId="0" fontId="4" fillId="0" borderId="29" xfId="0" applyFont="1" applyBorder="1" applyAlignment="1">
      <alignment horizontal="center"/>
    </xf>
    <xf numFmtId="0" fontId="4" fillId="0" borderId="32" xfId="0" applyFont="1" applyBorder="1" applyAlignment="1">
      <alignment horizontal="center"/>
    </xf>
    <xf numFmtId="0" fontId="5" fillId="0" borderId="2" xfId="0" applyFont="1" applyBorder="1"/>
    <xf numFmtId="0" fontId="0" fillId="0" borderId="21" xfId="0" applyBorder="1"/>
    <xf numFmtId="0" fontId="6" fillId="0" borderId="21" xfId="0" applyFont="1" applyBorder="1"/>
    <xf numFmtId="0" fontId="6" fillId="0" borderId="21" xfId="0" applyFont="1" applyFill="1" applyBorder="1"/>
    <xf numFmtId="0" fontId="6" fillId="0" borderId="21" xfId="0" applyFont="1" applyBorder="1" applyAlignment="1">
      <alignment horizontal="center"/>
    </xf>
    <xf numFmtId="0" fontId="4" fillId="0" borderId="34" xfId="0" applyFont="1" applyBorder="1" applyAlignment="1">
      <alignment horizontal="center"/>
    </xf>
    <xf numFmtId="0" fontId="9" fillId="0" borderId="31" xfId="0" applyFont="1" applyBorder="1"/>
    <xf numFmtId="0" fontId="4" fillId="0" borderId="18" xfId="0" applyFont="1" applyBorder="1"/>
    <xf numFmtId="0" fontId="5" fillId="0" borderId="18" xfId="0" applyFont="1" applyFill="1" applyBorder="1"/>
    <xf numFmtId="0" fontId="11" fillId="0" borderId="18" xfId="0" applyFont="1" applyFill="1" applyBorder="1"/>
    <xf numFmtId="0" fontId="5" fillId="0" borderId="33" xfId="0" applyFont="1" applyBorder="1"/>
    <xf numFmtId="0" fontId="5" fillId="0" borderId="18" xfId="0" applyFont="1" applyBorder="1"/>
    <xf numFmtId="0" fontId="4" fillId="0" borderId="18" xfId="0" applyFont="1" applyFill="1" applyBorder="1"/>
    <xf numFmtId="0" fontId="2" fillId="0" borderId="35" xfId="0" applyFont="1" applyBorder="1" applyAlignment="1">
      <alignment horizontal="center" vertical="center"/>
    </xf>
    <xf numFmtId="0" fontId="9" fillId="0" borderId="31" xfId="0" applyFont="1" applyBorder="1" applyAlignment="1">
      <alignment horizontal="center"/>
    </xf>
    <xf numFmtId="0" fontId="2" fillId="0" borderId="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/>
    </xf>
    <xf numFmtId="0" fontId="9" fillId="0" borderId="19" xfId="0" applyFont="1" applyBorder="1" applyAlignment="1">
      <alignment horizontal="center"/>
    </xf>
    <xf numFmtId="0" fontId="7" fillId="0" borderId="31" xfId="0" applyFont="1" applyBorder="1"/>
    <xf numFmtId="0" fontId="6" fillId="0" borderId="31" xfId="0" applyFont="1" applyBorder="1"/>
    <xf numFmtId="0" fontId="10" fillId="0" borderId="18" xfId="0" applyFont="1" applyBorder="1" applyAlignment="1">
      <alignment horizontal="center"/>
    </xf>
    <xf numFmtId="0" fontId="4" fillId="0" borderId="39" xfId="0" applyFont="1" applyBorder="1" applyAlignment="1">
      <alignment horizontal="center"/>
    </xf>
    <xf numFmtId="0" fontId="10" fillId="0" borderId="18" xfId="0" applyFont="1" applyFill="1" applyBorder="1" applyAlignment="1">
      <alignment horizontal="center"/>
    </xf>
    <xf numFmtId="0" fontId="7" fillId="0" borderId="18" xfId="0" applyFont="1" applyBorder="1"/>
    <xf numFmtId="0" fontId="7" fillId="0" borderId="23" xfId="0" applyFont="1" applyBorder="1"/>
    <xf numFmtId="0" fontId="4" fillId="0" borderId="41" xfId="0" applyFont="1" applyBorder="1" applyAlignment="1">
      <alignment horizontal="center"/>
    </xf>
    <xf numFmtId="0" fontId="4" fillId="0" borderId="19" xfId="0" applyNumberFormat="1" applyFont="1" applyBorder="1" applyAlignment="1">
      <alignment horizontal="center"/>
    </xf>
    <xf numFmtId="0" fontId="6" fillId="0" borderId="34" xfId="0" applyFont="1" applyBorder="1" applyAlignment="1">
      <alignment horizontal="center"/>
    </xf>
    <xf numFmtId="0" fontId="4" fillId="0" borderId="33" xfId="0" applyFont="1" applyBorder="1" applyAlignment="1">
      <alignment horizontal="center"/>
    </xf>
    <xf numFmtId="0" fontId="6" fillId="0" borderId="33" xfId="0" applyFont="1" applyBorder="1" applyAlignment="1">
      <alignment horizontal="center"/>
    </xf>
    <xf numFmtId="0" fontId="6" fillId="0" borderId="19" xfId="0" applyFont="1" applyBorder="1" applyAlignment="1">
      <alignment horizontal="center"/>
    </xf>
    <xf numFmtId="0" fontId="4" fillId="0" borderId="33" xfId="0" applyFont="1" applyBorder="1"/>
    <xf numFmtId="0" fontId="5" fillId="0" borderId="23" xfId="0" applyFont="1" applyFill="1" applyBorder="1"/>
    <xf numFmtId="0" fontId="4" fillId="0" borderId="40" xfId="0" applyFont="1" applyBorder="1" applyAlignment="1">
      <alignment horizontal="center"/>
    </xf>
    <xf numFmtId="0" fontId="4" fillId="0" borderId="42" xfId="0" applyFont="1" applyBorder="1" applyAlignment="1">
      <alignment horizontal="center"/>
    </xf>
    <xf numFmtId="0" fontId="11" fillId="0" borderId="33" xfId="0" applyFont="1" applyFill="1" applyBorder="1"/>
    <xf numFmtId="0" fontId="8" fillId="0" borderId="18" xfId="0" applyFont="1" applyBorder="1"/>
    <xf numFmtId="0" fontId="11" fillId="0" borderId="18" xfId="0" applyFont="1" applyBorder="1"/>
    <xf numFmtId="0" fontId="8" fillId="0" borderId="33" xfId="0" applyFont="1" applyBorder="1"/>
    <xf numFmtId="0" fontId="8" fillId="0" borderId="18" xfId="0" applyFont="1" applyFill="1" applyBorder="1"/>
    <xf numFmtId="0" fontId="11" fillId="0" borderId="23" xfId="0" applyFont="1" applyFill="1" applyBorder="1"/>
    <xf numFmtId="0" fontId="0" fillId="0" borderId="21" xfId="0" applyBorder="1" applyAlignment="1">
      <alignment horizontal="center"/>
    </xf>
    <xf numFmtId="0" fontId="11" fillId="0" borderId="31" xfId="0" applyFont="1" applyFill="1" applyBorder="1"/>
    <xf numFmtId="0" fontId="11" fillId="0" borderId="18" xfId="0" applyFont="1" applyFill="1" applyBorder="1" applyAlignment="1">
      <alignment horizontal="left"/>
    </xf>
    <xf numFmtId="0" fontId="11" fillId="0" borderId="21" xfId="0" applyFont="1" applyFill="1" applyBorder="1"/>
    <xf numFmtId="0" fontId="8" fillId="0" borderId="21" xfId="0" applyFont="1" applyBorder="1"/>
    <xf numFmtId="0" fontId="2" fillId="0" borderId="47" xfId="0" applyFont="1" applyBorder="1" applyAlignment="1">
      <alignment horizontal="center" vertical="center"/>
    </xf>
    <xf numFmtId="0" fontId="2" fillId="0" borderId="48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48" xfId="0" applyFont="1" applyBorder="1" applyAlignment="1">
      <alignment horizontal="center" vertical="center" wrapText="1"/>
    </xf>
    <xf numFmtId="0" fontId="3" fillId="0" borderId="49" xfId="0" applyFont="1" applyBorder="1" applyAlignment="1">
      <alignment horizontal="center" vertical="center"/>
    </xf>
    <xf numFmtId="0" fontId="12" fillId="0" borderId="18" xfId="0" applyFont="1" applyBorder="1" applyAlignment="1">
      <alignment horizontal="left"/>
    </xf>
    <xf numFmtId="0" fontId="12" fillId="0" borderId="21" xfId="0" applyFont="1" applyBorder="1" applyAlignment="1">
      <alignment horizontal="left"/>
    </xf>
    <xf numFmtId="0" fontId="11" fillId="0" borderId="19" xfId="0" applyFont="1" applyBorder="1" applyAlignment="1">
      <alignment horizontal="center"/>
    </xf>
    <xf numFmtId="0" fontId="11" fillId="0" borderId="31" xfId="0" applyFont="1" applyBorder="1" applyAlignment="1">
      <alignment horizontal="center"/>
    </xf>
    <xf numFmtId="0" fontId="11" fillId="0" borderId="22" xfId="0" applyFont="1" applyBorder="1" applyAlignment="1">
      <alignment horizontal="center"/>
    </xf>
    <xf numFmtId="0" fontId="13" fillId="0" borderId="19" xfId="0" applyFont="1" applyBorder="1" applyAlignment="1">
      <alignment horizontal="center"/>
    </xf>
    <xf numFmtId="0" fontId="11" fillId="0" borderId="34" xfId="0" applyFont="1" applyBorder="1" applyAlignment="1">
      <alignment horizontal="center"/>
    </xf>
    <xf numFmtId="0" fontId="11" fillId="0" borderId="33" xfId="0" applyFont="1" applyBorder="1" applyAlignment="1">
      <alignment horizontal="center"/>
    </xf>
    <xf numFmtId="0" fontId="11" fillId="0" borderId="21" xfId="0" applyFont="1" applyBorder="1" applyAlignment="1">
      <alignment horizontal="center"/>
    </xf>
    <xf numFmtId="0" fontId="13" fillId="0" borderId="34" xfId="0" applyFont="1" applyBorder="1" applyAlignment="1">
      <alignment horizontal="center"/>
    </xf>
    <xf numFmtId="0" fontId="13" fillId="0" borderId="33" xfId="0" applyFont="1" applyBorder="1" applyAlignment="1">
      <alignment horizontal="center"/>
    </xf>
    <xf numFmtId="0" fontId="13" fillId="0" borderId="21" xfId="0" applyFont="1" applyBorder="1" applyAlignment="1">
      <alignment horizontal="center"/>
    </xf>
    <xf numFmtId="0" fontId="11" fillId="0" borderId="19" xfId="0" applyNumberFormat="1" applyFont="1" applyBorder="1" applyAlignment="1">
      <alignment horizontal="center"/>
    </xf>
    <xf numFmtId="0" fontId="11" fillId="0" borderId="39" xfId="0" applyFont="1" applyBorder="1" applyAlignment="1">
      <alignment horizontal="center"/>
    </xf>
    <xf numFmtId="0" fontId="13" fillId="0" borderId="24" xfId="0" applyFont="1" applyBorder="1" applyAlignment="1">
      <alignment horizontal="center"/>
    </xf>
    <xf numFmtId="0" fontId="11" fillId="0" borderId="24" xfId="0" applyFont="1" applyBorder="1" applyAlignment="1">
      <alignment horizontal="center"/>
    </xf>
    <xf numFmtId="0" fontId="11" fillId="0" borderId="41" xfId="0" applyFont="1" applyBorder="1" applyAlignment="1">
      <alignment horizontal="center"/>
    </xf>
    <xf numFmtId="0" fontId="13" fillId="0" borderId="31" xfId="0" applyFont="1" applyBorder="1" applyAlignment="1">
      <alignment horizontal="center"/>
    </xf>
    <xf numFmtId="0" fontId="12" fillId="0" borderId="18" xfId="0" applyFont="1" applyBorder="1"/>
    <xf numFmtId="0" fontId="11" fillId="0" borderId="21" xfId="0" applyFont="1" applyBorder="1"/>
    <xf numFmtId="0" fontId="13" fillId="0" borderId="45" xfId="0" applyFont="1" applyBorder="1" applyAlignment="1">
      <alignment horizontal="center"/>
    </xf>
    <xf numFmtId="0" fontId="13" fillId="0" borderId="40" xfId="0" applyFont="1" applyBorder="1" applyAlignment="1">
      <alignment horizontal="center"/>
    </xf>
    <xf numFmtId="0" fontId="13" fillId="0" borderId="46" xfId="0" applyFont="1" applyBorder="1" applyAlignment="1">
      <alignment horizontal="center"/>
    </xf>
    <xf numFmtId="0" fontId="13" fillId="0" borderId="42" xfId="0" applyFont="1" applyBorder="1" applyAlignment="1">
      <alignment horizontal="center"/>
    </xf>
    <xf numFmtId="0" fontId="13" fillId="0" borderId="29" xfId="0" applyFont="1" applyBorder="1" applyAlignment="1">
      <alignment horizontal="center"/>
    </xf>
    <xf numFmtId="0" fontId="13" fillId="0" borderId="26" xfId="0" applyFont="1" applyBorder="1" applyAlignment="1">
      <alignment horizontal="center"/>
    </xf>
    <xf numFmtId="0" fontId="11" fillId="0" borderId="33" xfId="0" applyFont="1" applyBorder="1"/>
    <xf numFmtId="0" fontId="11" fillId="0" borderId="33" xfId="0" applyFont="1" applyFill="1" applyBorder="1" applyAlignment="1">
      <alignment horizontal="left"/>
    </xf>
    <xf numFmtId="0" fontId="8" fillId="0" borderId="23" xfId="0" applyFont="1" applyBorder="1"/>
    <xf numFmtId="0" fontId="8" fillId="0" borderId="31" xfId="0" applyFont="1" applyBorder="1"/>
    <xf numFmtId="0" fontId="11" fillId="0" borderId="40" xfId="0" applyFont="1" applyBorder="1" applyAlignment="1">
      <alignment horizontal="center"/>
    </xf>
    <xf numFmtId="0" fontId="11" fillId="0" borderId="42" xfId="0" applyFont="1" applyBorder="1" applyAlignment="1">
      <alignment horizontal="center"/>
    </xf>
    <xf numFmtId="0" fontId="11" fillId="0" borderId="26" xfId="0" applyFont="1" applyBorder="1" applyAlignment="1">
      <alignment horizontal="center"/>
    </xf>
    <xf numFmtId="0" fontId="12" fillId="0" borderId="33" xfId="0" applyFont="1" applyBorder="1"/>
    <xf numFmtId="0" fontId="11" fillId="0" borderId="31" xfId="0" applyNumberFormat="1" applyFont="1" applyBorder="1" applyAlignment="1">
      <alignment horizontal="center"/>
    </xf>
    <xf numFmtId="0" fontId="12" fillId="0" borderId="23" xfId="0" applyFont="1" applyBorder="1"/>
    <xf numFmtId="0" fontId="11" fillId="0" borderId="28" xfId="0" applyFont="1" applyFill="1" applyBorder="1"/>
    <xf numFmtId="0" fontId="12" fillId="0" borderId="19" xfId="0" applyFont="1" applyBorder="1"/>
    <xf numFmtId="0" fontId="14" fillId="0" borderId="18" xfId="0" applyFont="1" applyBorder="1" applyAlignment="1">
      <alignment horizontal="center"/>
    </xf>
    <xf numFmtId="0" fontId="15" fillId="0" borderId="18" xfId="0" applyFont="1" applyBorder="1"/>
    <xf numFmtId="0" fontId="15" fillId="0" borderId="19" xfId="0" applyFont="1" applyBorder="1" applyAlignment="1">
      <alignment horizontal="center"/>
    </xf>
    <xf numFmtId="0" fontId="12" fillId="0" borderId="0" xfId="0" applyFont="1"/>
    <xf numFmtId="0" fontId="16" fillId="0" borderId="0" xfId="0" applyFont="1"/>
    <xf numFmtId="0" fontId="15" fillId="0" borderId="18" xfId="0" applyFont="1" applyBorder="1" applyAlignment="1">
      <alignment horizontal="center"/>
    </xf>
    <xf numFmtId="0" fontId="15" fillId="0" borderId="20" xfId="0" applyFont="1" applyBorder="1" applyAlignment="1">
      <alignment horizontal="center"/>
    </xf>
    <xf numFmtId="0" fontId="3" fillId="0" borderId="50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/>
    </xf>
    <xf numFmtId="0" fontId="11" fillId="0" borderId="14" xfId="0" applyFont="1" applyFill="1" applyBorder="1" applyAlignment="1">
      <alignment horizontal="left"/>
    </xf>
    <xf numFmtId="0" fontId="11" fillId="0" borderId="2" xfId="0" applyFont="1" applyBorder="1" applyAlignment="1">
      <alignment horizontal="center"/>
    </xf>
    <xf numFmtId="0" fontId="11" fillId="0" borderId="51" xfId="0" applyFont="1" applyBorder="1" applyAlignment="1">
      <alignment horizontal="center"/>
    </xf>
    <xf numFmtId="0" fontId="11" fillId="0" borderId="52" xfId="0" applyFont="1" applyBorder="1" applyAlignment="1">
      <alignment horizontal="center"/>
    </xf>
    <xf numFmtId="0" fontId="11" fillId="0" borderId="17" xfId="0" applyFont="1" applyBorder="1" applyAlignment="1">
      <alignment horizontal="center"/>
    </xf>
    <xf numFmtId="0" fontId="15" fillId="0" borderId="39" xfId="0" applyFont="1" applyBorder="1" applyAlignment="1">
      <alignment horizontal="center"/>
    </xf>
    <xf numFmtId="0" fontId="12" fillId="0" borderId="20" xfId="0" applyFont="1" applyBorder="1" applyAlignment="1">
      <alignment horizontal="center"/>
    </xf>
    <xf numFmtId="0" fontId="12" fillId="0" borderId="18" xfId="0" applyFont="1" applyBorder="1" applyAlignment="1">
      <alignment horizontal="center"/>
    </xf>
    <xf numFmtId="0" fontId="15" fillId="0" borderId="34" xfId="0" applyFont="1" applyBorder="1" applyAlignment="1">
      <alignment horizontal="center"/>
    </xf>
    <xf numFmtId="0" fontId="11" fillId="0" borderId="15" xfId="0" applyFont="1" applyBorder="1" applyAlignment="1">
      <alignment horizontal="center"/>
    </xf>
    <xf numFmtId="0" fontId="11" fillId="0" borderId="20" xfId="0" applyFont="1" applyBorder="1" applyAlignment="1">
      <alignment horizontal="center"/>
    </xf>
    <xf numFmtId="0" fontId="13" fillId="0" borderId="20" xfId="0" applyFont="1" applyBorder="1" applyAlignment="1">
      <alignment horizontal="center"/>
    </xf>
    <xf numFmtId="0" fontId="13" fillId="0" borderId="39" xfId="0" applyFont="1" applyBorder="1" applyAlignment="1">
      <alignment horizontal="center"/>
    </xf>
    <xf numFmtId="0" fontId="15" fillId="0" borderId="33" xfId="0" applyFont="1" applyBorder="1" applyAlignment="1">
      <alignment horizontal="center"/>
    </xf>
    <xf numFmtId="0" fontId="11" fillId="0" borderId="54" xfId="0" applyFont="1" applyBorder="1" applyAlignment="1">
      <alignment horizontal="center"/>
    </xf>
    <xf numFmtId="0" fontId="12" fillId="0" borderId="24" xfId="0" applyFont="1" applyBorder="1"/>
    <xf numFmtId="0" fontId="15" fillId="0" borderId="18" xfId="0" applyFont="1" applyFill="1" applyBorder="1"/>
    <xf numFmtId="0" fontId="12" fillId="0" borderId="33" xfId="0" applyFont="1" applyBorder="1" applyAlignment="1">
      <alignment horizontal="center"/>
    </xf>
    <xf numFmtId="0" fontId="12" fillId="0" borderId="19" xfId="0" applyFont="1" applyBorder="1" applyAlignment="1">
      <alignment horizontal="center"/>
    </xf>
    <xf numFmtId="0" fontId="12" fillId="0" borderId="34" xfId="0" applyFont="1" applyBorder="1" applyAlignment="1">
      <alignment horizontal="center"/>
    </xf>
    <xf numFmtId="0" fontId="12" fillId="0" borderId="39" xfId="0" applyFont="1" applyBorder="1" applyAlignment="1">
      <alignment horizontal="center"/>
    </xf>
    <xf numFmtId="0" fontId="11" fillId="0" borderId="25" xfId="0" applyFont="1" applyBorder="1" applyAlignment="1">
      <alignment horizontal="center"/>
    </xf>
    <xf numFmtId="0" fontId="11" fillId="0" borderId="24" xfId="0" applyNumberFormat="1" applyFont="1" applyBorder="1" applyAlignment="1">
      <alignment horizontal="center"/>
    </xf>
    <xf numFmtId="0" fontId="13" fillId="0" borderId="30" xfId="0" applyFont="1" applyBorder="1" applyAlignment="1">
      <alignment horizontal="center"/>
    </xf>
    <xf numFmtId="0" fontId="13" fillId="0" borderId="53" xfId="0" applyFont="1" applyBorder="1" applyAlignment="1">
      <alignment horizontal="center"/>
    </xf>
    <xf numFmtId="0" fontId="8" fillId="0" borderId="18" xfId="0" applyFont="1" applyBorder="1" applyAlignment="1">
      <alignment horizontal="left"/>
    </xf>
    <xf numFmtId="0" fontId="11" fillId="0" borderId="18" xfId="0" applyFont="1" applyBorder="1" applyAlignment="1">
      <alignment horizontal="left"/>
    </xf>
    <xf numFmtId="0" fontId="15" fillId="0" borderId="18" xfId="0" applyFont="1" applyFill="1" applyBorder="1" applyAlignment="1">
      <alignment horizontal="left"/>
    </xf>
    <xf numFmtId="0" fontId="8" fillId="0" borderId="28" xfId="0" applyFont="1" applyBorder="1" applyAlignment="1">
      <alignment horizontal="left"/>
    </xf>
    <xf numFmtId="0" fontId="15" fillId="0" borderId="18" xfId="0" applyFont="1" applyBorder="1" applyAlignment="1">
      <alignment horizontal="left"/>
    </xf>
    <xf numFmtId="0" fontId="12" fillId="0" borderId="21" xfId="0" applyFont="1" applyBorder="1" applyAlignment="1">
      <alignment horizontal="center"/>
    </xf>
    <xf numFmtId="0" fontId="15" fillId="0" borderId="21" xfId="0" applyFont="1" applyBorder="1" applyAlignment="1">
      <alignment horizontal="center"/>
    </xf>
    <xf numFmtId="0" fontId="11" fillId="0" borderId="21" xfId="0" applyNumberFormat="1" applyFont="1" applyBorder="1" applyAlignment="1">
      <alignment horizontal="center"/>
    </xf>
    <xf numFmtId="0" fontId="12" fillId="0" borderId="20" xfId="0" applyFont="1" applyBorder="1"/>
    <xf numFmtId="0" fontId="8" fillId="0" borderId="19" xfId="0" applyFont="1" applyBorder="1" applyAlignment="1">
      <alignment horizontal="left"/>
    </xf>
    <xf numFmtId="0" fontId="11" fillId="0" borderId="19" xfId="0" applyFont="1" applyBorder="1" applyAlignment="1">
      <alignment horizontal="left"/>
    </xf>
    <xf numFmtId="0" fontId="11" fillId="0" borderId="19" xfId="0" applyFont="1" applyFill="1" applyBorder="1" applyAlignment="1">
      <alignment horizontal="left"/>
    </xf>
    <xf numFmtId="0" fontId="12" fillId="0" borderId="19" xfId="0" applyFont="1" applyBorder="1" applyAlignment="1">
      <alignment horizontal="left"/>
    </xf>
    <xf numFmtId="0" fontId="15" fillId="0" borderId="19" xfId="0" applyFont="1" applyFill="1" applyBorder="1" applyAlignment="1">
      <alignment horizontal="left"/>
    </xf>
    <xf numFmtId="0" fontId="15" fillId="0" borderId="19" xfId="0" applyFont="1" applyBorder="1" applyAlignment="1">
      <alignment horizontal="left"/>
    </xf>
    <xf numFmtId="0" fontId="11" fillId="0" borderId="19" xfId="0" applyFont="1" applyFill="1" applyBorder="1"/>
    <xf numFmtId="0" fontId="11" fillId="0" borderId="55" xfId="0" applyFont="1" applyBorder="1" applyAlignment="1">
      <alignment horizontal="center"/>
    </xf>
    <xf numFmtId="0" fontId="13" fillId="0" borderId="55" xfId="0" applyFont="1" applyBorder="1" applyAlignment="1">
      <alignment horizontal="center"/>
    </xf>
    <xf numFmtId="0" fontId="12" fillId="0" borderId="55" xfId="0" applyFont="1" applyBorder="1" applyAlignment="1">
      <alignment horizontal="center"/>
    </xf>
    <xf numFmtId="0" fontId="15" fillId="0" borderId="55" xfId="0" applyFont="1" applyBorder="1" applyAlignment="1">
      <alignment horizontal="center"/>
    </xf>
    <xf numFmtId="0" fontId="2" fillId="0" borderId="57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left"/>
    </xf>
    <xf numFmtId="0" fontId="12" fillId="0" borderId="56" xfId="0" applyFont="1" applyBorder="1" applyAlignment="1">
      <alignment horizontal="center"/>
    </xf>
    <xf numFmtId="0" fontId="16" fillId="0" borderId="21" xfId="0" applyFont="1" applyBorder="1" applyAlignment="1">
      <alignment horizontal="center"/>
    </xf>
    <xf numFmtId="0" fontId="12" fillId="0" borderId="16" xfId="0" applyFont="1" applyBorder="1" applyAlignment="1">
      <alignment horizontal="center"/>
    </xf>
    <xf numFmtId="0" fontId="16" fillId="0" borderId="40" xfId="0" applyFont="1" applyBorder="1" applyAlignment="1">
      <alignment horizontal="center"/>
    </xf>
    <xf numFmtId="0" fontId="16" fillId="0" borderId="25" xfId="0" applyFont="1" applyBorder="1" applyAlignment="1">
      <alignment horizontal="center"/>
    </xf>
    <xf numFmtId="0" fontId="16" fillId="0" borderId="41" xfId="0" applyFont="1" applyBorder="1" applyAlignment="1">
      <alignment horizontal="center"/>
    </xf>
    <xf numFmtId="0" fontId="11" fillId="0" borderId="27" xfId="0" applyFont="1" applyBorder="1" applyAlignment="1">
      <alignment horizontal="center"/>
    </xf>
    <xf numFmtId="0" fontId="16" fillId="0" borderId="55" xfId="0" applyFont="1" applyBorder="1" applyAlignment="1">
      <alignment horizontal="center"/>
    </xf>
    <xf numFmtId="0" fontId="12" fillId="0" borderId="20" xfId="0" applyFont="1" applyBorder="1" applyAlignment="1">
      <alignment horizontal="left"/>
    </xf>
    <xf numFmtId="0" fontId="11" fillId="0" borderId="20" xfId="0" applyFont="1" applyFill="1" applyBorder="1" applyAlignment="1">
      <alignment horizontal="left"/>
    </xf>
    <xf numFmtId="0" fontId="8" fillId="0" borderId="20" xfId="0" applyFont="1" applyBorder="1" applyAlignment="1">
      <alignment horizontal="left"/>
    </xf>
    <xf numFmtId="0" fontId="15" fillId="0" borderId="20" xfId="0" applyFont="1" applyFill="1" applyBorder="1" applyAlignment="1">
      <alignment horizontal="left"/>
    </xf>
    <xf numFmtId="0" fontId="11" fillId="0" borderId="20" xfId="0" applyFont="1" applyFill="1" applyBorder="1"/>
    <xf numFmtId="0" fontId="11" fillId="0" borderId="20" xfId="0" applyFont="1" applyBorder="1" applyAlignment="1">
      <alignment horizontal="left"/>
    </xf>
    <xf numFmtId="0" fontId="15" fillId="0" borderId="20" xfId="0" applyFont="1" applyBorder="1" applyAlignment="1">
      <alignment horizontal="left"/>
    </xf>
    <xf numFmtId="0" fontId="8" fillId="2" borderId="20" xfId="0" applyFont="1" applyFill="1" applyBorder="1" applyAlignment="1">
      <alignment horizontal="left"/>
    </xf>
    <xf numFmtId="0" fontId="11" fillId="2" borderId="21" xfId="0" applyFont="1" applyFill="1" applyBorder="1" applyAlignment="1">
      <alignment horizontal="center"/>
    </xf>
    <xf numFmtId="0" fontId="11" fillId="2" borderId="39" xfId="0" applyFont="1" applyFill="1" applyBorder="1" applyAlignment="1">
      <alignment horizontal="center"/>
    </xf>
    <xf numFmtId="0" fontId="12" fillId="2" borderId="25" xfId="0" applyFont="1" applyFill="1" applyBorder="1"/>
    <xf numFmtId="0" fontId="12" fillId="2" borderId="26" xfId="0" applyFont="1" applyFill="1" applyBorder="1" applyAlignment="1">
      <alignment horizontal="center"/>
    </xf>
    <xf numFmtId="0" fontId="11" fillId="2" borderId="26" xfId="0" applyFont="1" applyFill="1" applyBorder="1" applyAlignment="1">
      <alignment horizontal="center"/>
    </xf>
    <xf numFmtId="0" fontId="11" fillId="2" borderId="41" xfId="0" applyFont="1" applyFill="1" applyBorder="1" applyAlignment="1">
      <alignment horizontal="center"/>
    </xf>
    <xf numFmtId="0" fontId="12" fillId="0" borderId="15" xfId="0" applyFont="1" applyBorder="1" applyAlignment="1">
      <alignment horizontal="left"/>
    </xf>
    <xf numFmtId="0" fontId="13" fillId="0" borderId="16" xfId="0" applyFont="1" applyBorder="1" applyAlignment="1">
      <alignment horizontal="center"/>
    </xf>
    <xf numFmtId="0" fontId="8" fillId="2" borderId="2" xfId="0" applyFont="1" applyFill="1" applyBorder="1" applyAlignment="1">
      <alignment horizontal="left"/>
    </xf>
    <xf numFmtId="0" fontId="11" fillId="2" borderId="51" xfId="0" applyFont="1" applyFill="1" applyBorder="1" applyAlignment="1">
      <alignment horizontal="center"/>
    </xf>
    <xf numFmtId="0" fontId="11" fillId="2" borderId="54" xfId="0" applyFont="1" applyFill="1" applyBorder="1" applyAlignment="1">
      <alignment horizontal="center"/>
    </xf>
    <xf numFmtId="0" fontId="12" fillId="0" borderId="40" xfId="0" applyFont="1" applyBorder="1" applyAlignment="1">
      <alignment horizontal="center"/>
    </xf>
    <xf numFmtId="0" fontId="11" fillId="2" borderId="3" xfId="0" applyFont="1" applyFill="1" applyBorder="1" applyAlignment="1">
      <alignment horizontal="center"/>
    </xf>
    <xf numFmtId="0" fontId="11" fillId="2" borderId="2" xfId="0" applyFont="1" applyFill="1" applyBorder="1" applyAlignment="1">
      <alignment horizontal="center"/>
    </xf>
    <xf numFmtId="0" fontId="16" fillId="0" borderId="19" xfId="0" applyFont="1" applyBorder="1" applyAlignment="1">
      <alignment horizontal="center"/>
    </xf>
    <xf numFmtId="0" fontId="12" fillId="0" borderId="24" xfId="0" applyFont="1" applyBorder="1" applyAlignment="1">
      <alignment horizontal="center"/>
    </xf>
    <xf numFmtId="0" fontId="11" fillId="2" borderId="17" xfId="0" applyFont="1" applyFill="1" applyBorder="1" applyAlignment="1">
      <alignment horizontal="center"/>
    </xf>
    <xf numFmtId="0" fontId="11" fillId="2" borderId="15" xfId="0" applyFont="1" applyFill="1" applyBorder="1" applyAlignment="1">
      <alignment horizontal="center"/>
    </xf>
    <xf numFmtId="0" fontId="16" fillId="0" borderId="24" xfId="0" applyFont="1" applyBorder="1" applyAlignment="1">
      <alignment horizontal="center"/>
    </xf>
    <xf numFmtId="0" fontId="11" fillId="0" borderId="55" xfId="0" applyFont="1" applyFill="1" applyBorder="1" applyAlignment="1">
      <alignment horizontal="center"/>
    </xf>
    <xf numFmtId="0" fontId="12" fillId="0" borderId="19" xfId="0" applyFont="1" applyFill="1" applyBorder="1"/>
    <xf numFmtId="0" fontId="12" fillId="0" borderId="55" xfId="0" applyFont="1" applyFill="1" applyBorder="1" applyAlignment="1">
      <alignment horizontal="center"/>
    </xf>
    <xf numFmtId="0" fontId="8" fillId="0" borderId="19" xfId="0" applyFont="1" applyFill="1" applyBorder="1" applyAlignment="1">
      <alignment horizontal="left"/>
    </xf>
    <xf numFmtId="0" fontId="13" fillId="0" borderId="55" xfId="0" applyFont="1" applyFill="1" applyBorder="1" applyAlignment="1">
      <alignment horizontal="center"/>
    </xf>
    <xf numFmtId="0" fontId="12" fillId="0" borderId="19" xfId="0" applyFont="1" applyFill="1" applyBorder="1" applyAlignment="1">
      <alignment horizontal="left"/>
    </xf>
    <xf numFmtId="0" fontId="15" fillId="0" borderId="55" xfId="0" applyFont="1" applyFill="1" applyBorder="1" applyAlignment="1">
      <alignment horizontal="center"/>
    </xf>
    <xf numFmtId="0" fontId="17" fillId="0" borderId="0" xfId="1"/>
    <xf numFmtId="0" fontId="17" fillId="0" borderId="47" xfId="1" applyBorder="1" applyAlignment="1">
      <alignment horizontal="center"/>
    </xf>
    <xf numFmtId="0" fontId="18" fillId="0" borderId="48" xfId="1" applyFont="1" applyBorder="1" applyAlignment="1">
      <alignment horizontal="center"/>
    </xf>
    <xf numFmtId="0" fontId="18" fillId="0" borderId="49" xfId="1" applyFont="1" applyBorder="1" applyAlignment="1">
      <alignment horizontal="center"/>
    </xf>
    <xf numFmtId="0" fontId="17" fillId="0" borderId="2" xfId="1" applyBorder="1" applyAlignment="1">
      <alignment horizontal="center"/>
    </xf>
    <xf numFmtId="0" fontId="17" fillId="0" borderId="51" xfId="1" applyBorder="1" applyAlignment="1">
      <alignment horizontal="center"/>
    </xf>
    <xf numFmtId="0" fontId="17" fillId="0" borderId="16" xfId="1" applyBorder="1" applyAlignment="1">
      <alignment horizontal="center"/>
    </xf>
    <xf numFmtId="0" fontId="17" fillId="0" borderId="54" xfId="1" applyBorder="1" applyAlignment="1">
      <alignment horizontal="center"/>
    </xf>
    <xf numFmtId="0" fontId="17" fillId="0" borderId="19" xfId="1" applyBorder="1" applyAlignment="1">
      <alignment horizontal="center"/>
    </xf>
    <xf numFmtId="0" fontId="17" fillId="0" borderId="34" xfId="1" applyBorder="1" applyAlignment="1">
      <alignment horizontal="center"/>
    </xf>
    <xf numFmtId="0" fontId="17" fillId="0" borderId="21" xfId="1" applyBorder="1" applyAlignment="1">
      <alignment horizontal="center"/>
    </xf>
    <xf numFmtId="0" fontId="17" fillId="0" borderId="39" xfId="1" applyBorder="1" applyAlignment="1">
      <alignment horizontal="center"/>
    </xf>
    <xf numFmtId="0" fontId="17" fillId="0" borderId="24" xfId="1" applyBorder="1" applyAlignment="1">
      <alignment horizontal="center"/>
    </xf>
    <xf numFmtId="0" fontId="17" fillId="0" borderId="40" xfId="1" applyBorder="1" applyAlignment="1">
      <alignment horizontal="center"/>
    </xf>
    <xf numFmtId="0" fontId="17" fillId="0" borderId="26" xfId="1" applyBorder="1" applyAlignment="1">
      <alignment horizontal="center"/>
    </xf>
    <xf numFmtId="0" fontId="17" fillId="0" borderId="41" xfId="1" applyBorder="1" applyAlignment="1">
      <alignment horizontal="center"/>
    </xf>
    <xf numFmtId="0" fontId="17" fillId="0" borderId="0" xfId="1" applyAlignment="1">
      <alignment horizontal="center"/>
    </xf>
    <xf numFmtId="0" fontId="17" fillId="0" borderId="4" xfId="1" applyFill="1" applyBorder="1" applyAlignment="1">
      <alignment horizontal="center"/>
    </xf>
    <xf numFmtId="0" fontId="17" fillId="0" borderId="44" xfId="1" applyFill="1" applyBorder="1" applyAlignment="1">
      <alignment horizontal="center"/>
    </xf>
    <xf numFmtId="0" fontId="17" fillId="0" borderId="58" xfId="1" applyFill="1" applyBorder="1" applyAlignment="1">
      <alignment horizontal="center"/>
    </xf>
    <xf numFmtId="0" fontId="17" fillId="0" borderId="2" xfId="1" applyFill="1" applyBorder="1" applyAlignment="1">
      <alignment horizontal="center"/>
    </xf>
    <xf numFmtId="0" fontId="17" fillId="0" borderId="17" xfId="1" applyFill="1" applyBorder="1" applyAlignment="1">
      <alignment horizontal="center"/>
    </xf>
    <xf numFmtId="0" fontId="17" fillId="0" borderId="19" xfId="1" applyFill="1" applyBorder="1" applyAlignment="1">
      <alignment horizontal="center"/>
    </xf>
    <xf numFmtId="0" fontId="17" fillId="0" borderId="21" xfId="1" applyFill="1" applyBorder="1" applyAlignment="1">
      <alignment horizontal="center"/>
    </xf>
    <xf numFmtId="0" fontId="17" fillId="0" borderId="33" xfId="1" applyFill="1" applyBorder="1" applyAlignment="1">
      <alignment horizontal="center"/>
    </xf>
    <xf numFmtId="0" fontId="17" fillId="0" borderId="22" xfId="1" applyFill="1" applyBorder="1" applyAlignment="1">
      <alignment horizontal="center"/>
    </xf>
    <xf numFmtId="0" fontId="12" fillId="0" borderId="19" xfId="0" applyFont="1" applyFill="1" applyBorder="1" applyAlignment="1">
      <alignment horizontal="center"/>
    </xf>
    <xf numFmtId="0" fontId="11" fillId="0" borderId="19" xfId="0" applyFont="1" applyFill="1" applyBorder="1" applyAlignment="1">
      <alignment horizontal="center"/>
    </xf>
    <xf numFmtId="0" fontId="11" fillId="0" borderId="20" xfId="0" applyFont="1" applyFill="1" applyBorder="1" applyAlignment="1">
      <alignment horizontal="center"/>
    </xf>
    <xf numFmtId="0" fontId="11" fillId="0" borderId="39" xfId="0" applyFont="1" applyFill="1" applyBorder="1" applyAlignment="1">
      <alignment horizontal="center"/>
    </xf>
    <xf numFmtId="0" fontId="11" fillId="0" borderId="34" xfId="0" applyFont="1" applyFill="1" applyBorder="1" applyAlignment="1">
      <alignment horizontal="center"/>
    </xf>
    <xf numFmtId="0" fontId="11" fillId="0" borderId="22" xfId="0" applyFont="1" applyFill="1" applyBorder="1" applyAlignment="1">
      <alignment horizontal="center"/>
    </xf>
    <xf numFmtId="0" fontId="12" fillId="0" borderId="24" xfId="0" applyFont="1" applyFill="1" applyBorder="1" applyAlignment="1">
      <alignment horizontal="left"/>
    </xf>
    <xf numFmtId="0" fontId="11" fillId="0" borderId="56" xfId="0" applyFont="1" applyFill="1" applyBorder="1" applyAlignment="1">
      <alignment horizontal="center"/>
    </xf>
    <xf numFmtId="0" fontId="12" fillId="0" borderId="25" xfId="0" applyFont="1" applyBorder="1" applyAlignment="1">
      <alignment horizontal="center"/>
    </xf>
    <xf numFmtId="0" fontId="12" fillId="0" borderId="41" xfId="0" applyFont="1" applyBorder="1" applyAlignment="1">
      <alignment horizontal="center"/>
    </xf>
    <xf numFmtId="0" fontId="13" fillId="2" borderId="2" xfId="0" applyFont="1" applyFill="1" applyBorder="1" applyAlignment="1">
      <alignment horizontal="center"/>
    </xf>
    <xf numFmtId="0" fontId="12" fillId="2" borderId="2" xfId="0" applyFont="1" applyFill="1" applyBorder="1"/>
    <xf numFmtId="0" fontId="12" fillId="2" borderId="3" xfId="0" applyFont="1" applyFill="1" applyBorder="1" applyAlignment="1">
      <alignment horizontal="center"/>
    </xf>
    <xf numFmtId="0" fontId="13" fillId="2" borderId="15" xfId="0" applyFont="1" applyFill="1" applyBorder="1" applyAlignment="1">
      <alignment horizontal="center"/>
    </xf>
    <xf numFmtId="0" fontId="13" fillId="2" borderId="54" xfId="0" applyFont="1" applyFill="1" applyBorder="1" applyAlignment="1">
      <alignment horizontal="center"/>
    </xf>
    <xf numFmtId="0" fontId="13" fillId="2" borderId="51" xfId="0" applyFont="1" applyFill="1" applyBorder="1" applyAlignment="1">
      <alignment horizontal="center"/>
    </xf>
    <xf numFmtId="0" fontId="11" fillId="0" borderId="2" xfId="0" applyFont="1" applyFill="1" applyBorder="1" applyAlignment="1">
      <alignment horizontal="left"/>
    </xf>
    <xf numFmtId="0" fontId="13" fillId="0" borderId="19" xfId="0" applyFont="1" applyFill="1" applyBorder="1" applyAlignment="1">
      <alignment horizontal="center"/>
    </xf>
    <xf numFmtId="0" fontId="12" fillId="0" borderId="2" xfId="0" applyFont="1" applyBorder="1" applyAlignment="1">
      <alignment horizontal="center"/>
    </xf>
    <xf numFmtId="0" fontId="12" fillId="0" borderId="20" xfId="0" applyFont="1" applyFill="1" applyBorder="1" applyAlignment="1">
      <alignment horizontal="center"/>
    </xf>
    <xf numFmtId="0" fontId="13" fillId="0" borderId="20" xfId="0" applyFont="1" applyFill="1" applyBorder="1" applyAlignment="1">
      <alignment horizontal="center"/>
    </xf>
    <xf numFmtId="0" fontId="12" fillId="0" borderId="39" xfId="0" applyFont="1" applyFill="1" applyBorder="1" applyAlignment="1">
      <alignment horizontal="center"/>
    </xf>
    <xf numFmtId="0" fontId="13" fillId="0" borderId="39" xfId="0" applyFont="1" applyFill="1" applyBorder="1" applyAlignment="1">
      <alignment horizontal="center"/>
    </xf>
    <xf numFmtId="0" fontId="12" fillId="0" borderId="34" xfId="0" applyFont="1" applyFill="1" applyBorder="1" applyAlignment="1">
      <alignment horizontal="center"/>
    </xf>
    <xf numFmtId="0" fontId="13" fillId="0" borderId="34" xfId="0" applyFont="1" applyFill="1" applyBorder="1" applyAlignment="1">
      <alignment horizontal="center"/>
    </xf>
    <xf numFmtId="0" fontId="13" fillId="0" borderId="3" xfId="0" applyFont="1" applyBorder="1" applyAlignment="1">
      <alignment horizontal="center"/>
    </xf>
    <xf numFmtId="0" fontId="11" fillId="2" borderId="2" xfId="0" applyFont="1" applyFill="1" applyBorder="1" applyAlignment="1">
      <alignment horizontal="left"/>
    </xf>
    <xf numFmtId="0" fontId="12" fillId="2" borderId="24" xfId="0" applyFont="1" applyFill="1" applyBorder="1"/>
    <xf numFmtId="0" fontId="12" fillId="2" borderId="56" xfId="0" applyFont="1" applyFill="1" applyBorder="1" applyAlignment="1">
      <alignment horizontal="center"/>
    </xf>
    <xf numFmtId="0" fontId="13" fillId="2" borderId="24" xfId="0" applyFont="1" applyFill="1" applyBorder="1" applyAlignment="1">
      <alignment horizontal="center"/>
    </xf>
    <xf numFmtId="0" fontId="12" fillId="2" borderId="25" xfId="0" applyFont="1" applyFill="1" applyBorder="1" applyAlignment="1">
      <alignment horizontal="center"/>
    </xf>
    <xf numFmtId="0" fontId="12" fillId="2" borderId="41" xfId="0" applyFont="1" applyFill="1" applyBorder="1" applyAlignment="1">
      <alignment horizontal="center"/>
    </xf>
    <xf numFmtId="0" fontId="12" fillId="2" borderId="40" xfId="0" applyFont="1" applyFill="1" applyBorder="1" applyAlignment="1">
      <alignment horizontal="center"/>
    </xf>
    <xf numFmtId="0" fontId="11" fillId="2" borderId="27" xfId="0" applyFont="1" applyFill="1" applyBorder="1" applyAlignment="1">
      <alignment horizontal="center"/>
    </xf>
    <xf numFmtId="0" fontId="11" fillId="0" borderId="3" xfId="0" applyFont="1" applyFill="1" applyBorder="1" applyAlignment="1">
      <alignment horizontal="center"/>
    </xf>
    <xf numFmtId="0" fontId="11" fillId="0" borderId="27" xfId="0" applyFont="1" applyFill="1" applyBorder="1" applyAlignment="1">
      <alignment horizontal="center"/>
    </xf>
    <xf numFmtId="0" fontId="8" fillId="0" borderId="2" xfId="0" applyFont="1" applyFill="1" applyBorder="1" applyAlignment="1">
      <alignment horizontal="left"/>
    </xf>
    <xf numFmtId="0" fontId="11" fillId="0" borderId="24" xfId="0" applyFont="1" applyFill="1" applyBorder="1" applyAlignment="1">
      <alignment horizontal="left"/>
    </xf>
    <xf numFmtId="0" fontId="8" fillId="0" borderId="2" xfId="0" applyFont="1" applyBorder="1" applyAlignment="1">
      <alignment horizontal="left"/>
    </xf>
    <xf numFmtId="0" fontId="11" fillId="0" borderId="56" xfId="0" applyFont="1" applyBorder="1" applyAlignment="1">
      <alignment horizontal="center"/>
    </xf>
    <xf numFmtId="0" fontId="11" fillId="0" borderId="3" xfId="0" applyFont="1" applyBorder="1" applyAlignment="1">
      <alignment horizontal="center"/>
    </xf>
    <xf numFmtId="0" fontId="12" fillId="0" borderId="3" xfId="0" applyFont="1" applyBorder="1" applyAlignment="1">
      <alignment horizontal="center"/>
    </xf>
    <xf numFmtId="0" fontId="12" fillId="0" borderId="15" xfId="0" applyFont="1" applyBorder="1" applyAlignment="1">
      <alignment horizontal="center"/>
    </xf>
    <xf numFmtId="0" fontId="12" fillId="0" borderId="54" xfId="0" applyFont="1" applyBorder="1" applyAlignment="1">
      <alignment horizontal="center"/>
    </xf>
    <xf numFmtId="0" fontId="12" fillId="0" borderId="51" xfId="0" applyFont="1" applyBorder="1" applyAlignment="1">
      <alignment horizontal="center"/>
    </xf>
    <xf numFmtId="0" fontId="15" fillId="0" borderId="54" xfId="0" applyFont="1" applyBorder="1" applyAlignment="1">
      <alignment horizontal="center"/>
    </xf>
    <xf numFmtId="0" fontId="15" fillId="0" borderId="15" xfId="0" applyFont="1" applyBorder="1" applyAlignment="1">
      <alignment horizontal="center"/>
    </xf>
    <xf numFmtId="0" fontId="15" fillId="0" borderId="51" xfId="0" applyFont="1" applyBorder="1" applyAlignment="1">
      <alignment horizontal="center"/>
    </xf>
    <xf numFmtId="0" fontId="11" fillId="2" borderId="24" xfId="0" applyFont="1" applyFill="1" applyBorder="1" applyAlignment="1">
      <alignment horizontal="left"/>
    </xf>
    <xf numFmtId="0" fontId="11" fillId="2" borderId="56" xfId="0" applyFont="1" applyFill="1" applyBorder="1" applyAlignment="1">
      <alignment horizontal="center"/>
    </xf>
    <xf numFmtId="0" fontId="12" fillId="2" borderId="24" xfId="0" applyFont="1" applyFill="1" applyBorder="1" applyAlignment="1">
      <alignment horizontal="center"/>
    </xf>
    <xf numFmtId="0" fontId="11" fillId="2" borderId="25" xfId="0" applyFont="1" applyFill="1" applyBorder="1" applyAlignment="1">
      <alignment horizontal="center"/>
    </xf>
    <xf numFmtId="0" fontId="11" fillId="2" borderId="40" xfId="0" applyFont="1" applyFill="1" applyBorder="1" applyAlignment="1">
      <alignment horizontal="center"/>
    </xf>
    <xf numFmtId="0" fontId="11" fillId="0" borderId="25" xfId="0" applyFont="1" applyFill="1" applyBorder="1" applyAlignment="1">
      <alignment horizontal="center"/>
    </xf>
    <xf numFmtId="0" fontId="11" fillId="0" borderId="41" xfId="0" applyFont="1" applyFill="1" applyBorder="1" applyAlignment="1">
      <alignment horizontal="center"/>
    </xf>
    <xf numFmtId="0" fontId="11" fillId="0" borderId="40" xfId="0" applyFont="1" applyFill="1" applyBorder="1" applyAlignment="1">
      <alignment horizontal="center"/>
    </xf>
    <xf numFmtId="0" fontId="11" fillId="0" borderId="24" xfId="0" applyFont="1" applyFill="1" applyBorder="1" applyAlignment="1">
      <alignment horizontal="center"/>
    </xf>
    <xf numFmtId="0" fontId="11" fillId="2" borderId="2" xfId="0" applyFont="1" applyFill="1" applyBorder="1"/>
    <xf numFmtId="0" fontId="13" fillId="2" borderId="3" xfId="0" applyFont="1" applyFill="1" applyBorder="1" applyAlignment="1">
      <alignment horizontal="center"/>
    </xf>
    <xf numFmtId="0" fontId="11" fillId="2" borderId="19" xfId="0" applyFont="1" applyFill="1" applyBorder="1" applyAlignment="1">
      <alignment horizontal="left"/>
    </xf>
    <xf numFmtId="0" fontId="11" fillId="2" borderId="55" xfId="0" applyFont="1" applyFill="1" applyBorder="1" applyAlignment="1">
      <alignment horizontal="center"/>
    </xf>
    <xf numFmtId="0" fontId="11" fillId="2" borderId="19" xfId="0" applyFont="1" applyFill="1" applyBorder="1" applyAlignment="1">
      <alignment horizontal="center"/>
    </xf>
    <xf numFmtId="0" fontId="11" fillId="2" borderId="20" xfId="0" applyFont="1" applyFill="1" applyBorder="1" applyAlignment="1">
      <alignment horizontal="center"/>
    </xf>
    <xf numFmtId="0" fontId="11" fillId="2" borderId="34" xfId="0" applyFont="1" applyFill="1" applyBorder="1" applyAlignment="1">
      <alignment horizontal="center"/>
    </xf>
    <xf numFmtId="0" fontId="11" fillId="2" borderId="22" xfId="0" applyFont="1" applyFill="1" applyBorder="1" applyAlignment="1">
      <alignment horizontal="center"/>
    </xf>
    <xf numFmtId="0" fontId="11" fillId="0" borderId="2" xfId="0" applyFont="1" applyFill="1" applyBorder="1" applyAlignment="1">
      <alignment horizontal="center"/>
    </xf>
    <xf numFmtId="0" fontId="13" fillId="0" borderId="15" xfId="0" applyFont="1" applyFill="1" applyBorder="1" applyAlignment="1">
      <alignment horizontal="center"/>
    </xf>
    <xf numFmtId="0" fontId="13" fillId="0" borderId="54" xfId="0" applyFont="1" applyFill="1" applyBorder="1" applyAlignment="1">
      <alignment horizontal="center"/>
    </xf>
    <xf numFmtId="0" fontId="13" fillId="0" borderId="51" xfId="0" applyFont="1" applyFill="1" applyBorder="1" applyAlignment="1">
      <alignment horizontal="center"/>
    </xf>
    <xf numFmtId="0" fontId="11" fillId="0" borderId="17" xfId="0" applyFont="1" applyFill="1" applyBorder="1" applyAlignment="1">
      <alignment horizontal="center"/>
    </xf>
    <xf numFmtId="0" fontId="15" fillId="0" borderId="19" xfId="0" applyFont="1" applyFill="1" applyBorder="1" applyAlignment="1">
      <alignment horizontal="center"/>
    </xf>
    <xf numFmtId="0" fontId="11" fillId="0" borderId="53" xfId="0" applyFont="1" applyFill="1" applyBorder="1" applyAlignment="1">
      <alignment horizontal="center"/>
    </xf>
    <xf numFmtId="0" fontId="12" fillId="0" borderId="24" xfId="0" applyFont="1" applyFill="1" applyBorder="1"/>
    <xf numFmtId="0" fontId="13" fillId="0" borderId="56" xfId="0" applyFont="1" applyFill="1" applyBorder="1" applyAlignment="1">
      <alignment horizontal="center"/>
    </xf>
    <xf numFmtId="0" fontId="12" fillId="0" borderId="15" xfId="0" applyFont="1" applyFill="1" applyBorder="1" applyAlignment="1">
      <alignment horizontal="center"/>
    </xf>
    <xf numFmtId="0" fontId="13" fillId="0" borderId="25" xfId="0" applyFont="1" applyFill="1" applyBorder="1" applyAlignment="1">
      <alignment horizontal="center"/>
    </xf>
    <xf numFmtId="0" fontId="12" fillId="0" borderId="54" xfId="0" applyFont="1" applyFill="1" applyBorder="1" applyAlignment="1">
      <alignment horizontal="center"/>
    </xf>
    <xf numFmtId="0" fontId="13" fillId="0" borderId="41" xfId="0" applyFont="1" applyFill="1" applyBorder="1" applyAlignment="1">
      <alignment horizontal="center"/>
    </xf>
    <xf numFmtId="0" fontId="12" fillId="0" borderId="51" xfId="0" applyFont="1" applyFill="1" applyBorder="1" applyAlignment="1">
      <alignment horizontal="center"/>
    </xf>
    <xf numFmtId="0" fontId="13" fillId="0" borderId="40" xfId="0" applyFont="1" applyFill="1" applyBorder="1" applyAlignment="1">
      <alignment horizontal="center"/>
    </xf>
    <xf numFmtId="0" fontId="17" fillId="0" borderId="7" xfId="1" applyFill="1" applyBorder="1" applyAlignment="1">
      <alignment horizontal="center"/>
    </xf>
    <xf numFmtId="0" fontId="12" fillId="0" borderId="2" xfId="0" applyFont="1" applyFill="1" applyBorder="1"/>
    <xf numFmtId="0" fontId="11" fillId="0" borderId="15" xfId="0" applyFont="1" applyFill="1" applyBorder="1" applyAlignment="1">
      <alignment horizontal="center"/>
    </xf>
    <xf numFmtId="0" fontId="11" fillId="0" borderId="54" xfId="0" applyFont="1" applyFill="1" applyBorder="1" applyAlignment="1">
      <alignment horizontal="center"/>
    </xf>
    <xf numFmtId="0" fontId="11" fillId="0" borderId="51" xfId="0" applyFont="1" applyFill="1" applyBorder="1" applyAlignment="1">
      <alignment horizontal="center"/>
    </xf>
    <xf numFmtId="0" fontId="13" fillId="0" borderId="3" xfId="0" applyFont="1" applyFill="1" applyBorder="1" applyAlignment="1">
      <alignment horizontal="center"/>
    </xf>
    <xf numFmtId="0" fontId="15" fillId="0" borderId="2" xfId="0" applyFont="1" applyFill="1" applyBorder="1" applyAlignment="1">
      <alignment horizontal="center"/>
    </xf>
    <xf numFmtId="0" fontId="15" fillId="0" borderId="24" xfId="0" applyFont="1" applyBorder="1" applyAlignment="1">
      <alignment horizontal="center"/>
    </xf>
    <xf numFmtId="0" fontId="12" fillId="0" borderId="2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2" fillId="0" borderId="6" xfId="0" applyFont="1" applyBorder="1" applyAlignment="1">
      <alignment horizontal="center" shrinkToFit="1"/>
    </xf>
    <xf numFmtId="0" fontId="2" fillId="0" borderId="7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36" xfId="0" applyFont="1" applyBorder="1" applyAlignment="1">
      <alignment horizontal="center"/>
    </xf>
    <xf numFmtId="0" fontId="1" fillId="0" borderId="37" xfId="0" applyFont="1" applyBorder="1" applyAlignment="1">
      <alignment horizontal="center"/>
    </xf>
    <xf numFmtId="0" fontId="1" fillId="0" borderId="38" xfId="0" applyFont="1" applyBorder="1" applyAlignment="1">
      <alignment horizontal="center"/>
    </xf>
    <xf numFmtId="0" fontId="0" fillId="0" borderId="43" xfId="0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18" fillId="0" borderId="1" xfId="1" applyFont="1" applyBorder="1" applyAlignment="1">
      <alignment horizontal="center"/>
    </xf>
    <xf numFmtId="0" fontId="17" fillId="3" borderId="43" xfId="1" applyFill="1" applyBorder="1" applyAlignment="1">
      <alignment horizontal="center"/>
    </xf>
    <xf numFmtId="0" fontId="17" fillId="3" borderId="5" xfId="1" applyFill="1" applyBorder="1" applyAlignment="1">
      <alignment horizontal="center"/>
    </xf>
    <xf numFmtId="0" fontId="17" fillId="3" borderId="44" xfId="1" applyFill="1" applyBorder="1" applyAlignment="1">
      <alignment horizontal="center"/>
    </xf>
    <xf numFmtId="0" fontId="17" fillId="0" borderId="5" xfId="1" applyBorder="1" applyAlignment="1">
      <alignment horizontal="center"/>
    </xf>
    <xf numFmtId="0" fontId="17" fillId="0" borderId="44" xfId="1" applyBorder="1" applyAlignment="1">
      <alignment horizontal="center"/>
    </xf>
    <xf numFmtId="0" fontId="17" fillId="0" borderId="0" xfId="1" applyBorder="1" applyAlignment="1">
      <alignment horizontal="center"/>
    </xf>
    <xf numFmtId="0" fontId="17" fillId="0" borderId="11" xfId="1" applyBorder="1" applyAlignment="1">
      <alignment horizontal="center"/>
    </xf>
    <xf numFmtId="0" fontId="18" fillId="0" borderId="12" xfId="1" applyFont="1" applyBorder="1" applyAlignment="1">
      <alignment horizontal="center"/>
    </xf>
    <xf numFmtId="0" fontId="17" fillId="0" borderId="21" xfId="1" applyBorder="1"/>
    <xf numFmtId="0" fontId="17" fillId="0" borderId="15" xfId="1" applyBorder="1" applyAlignment="1">
      <alignment horizontal="center"/>
    </xf>
    <xf numFmtId="0" fontId="17" fillId="0" borderId="20" xfId="1" applyBorder="1" applyAlignment="1">
      <alignment horizontal="center"/>
    </xf>
    <xf numFmtId="0" fontId="17" fillId="0" borderId="26" xfId="1" applyBorder="1"/>
    <xf numFmtId="0" fontId="17" fillId="0" borderId="14" xfId="1" applyBorder="1" applyAlignment="1">
      <alignment horizontal="center"/>
    </xf>
    <xf numFmtId="0" fontId="17" fillId="0" borderId="18" xfId="1" applyBorder="1" applyAlignment="1">
      <alignment horizontal="center"/>
    </xf>
    <xf numFmtId="0" fontId="17" fillId="0" borderId="23" xfId="1" applyBorder="1" applyAlignment="1">
      <alignment horizontal="center"/>
    </xf>
    <xf numFmtId="0" fontId="17" fillId="0" borderId="25" xfId="1" applyBorder="1" applyAlignment="1">
      <alignment horizontal="center"/>
    </xf>
    <xf numFmtId="0" fontId="17" fillId="0" borderId="59" xfId="1" applyBorder="1" applyAlignment="1">
      <alignment horizontal="center"/>
    </xf>
    <xf numFmtId="0" fontId="17" fillId="0" borderId="60" xfId="1" applyBorder="1" applyAlignment="1">
      <alignment horizontal="center"/>
    </xf>
    <xf numFmtId="0" fontId="17" fillId="0" borderId="61" xfId="1" applyBorder="1" applyAlignment="1">
      <alignment horizontal="center"/>
    </xf>
    <xf numFmtId="0" fontId="17" fillId="0" borderId="9" xfId="1" applyBorder="1" applyAlignment="1">
      <alignment horizontal="center"/>
    </xf>
    <xf numFmtId="0" fontId="17" fillId="0" borderId="0" xfId="1" applyBorder="1"/>
    <xf numFmtId="0" fontId="17" fillId="0" borderId="12" xfId="1" applyFill="1" applyBorder="1" applyAlignment="1">
      <alignment horizontal="center"/>
    </xf>
    <xf numFmtId="0" fontId="17" fillId="0" borderId="50" xfId="1" applyFill="1" applyBorder="1" applyAlignment="1">
      <alignment horizontal="center"/>
    </xf>
    <xf numFmtId="0" fontId="17" fillId="0" borderId="16" xfId="1" applyFill="1" applyBorder="1" applyAlignment="1">
      <alignment horizontal="center"/>
    </xf>
    <xf numFmtId="0" fontId="17" fillId="0" borderId="43" xfId="1" applyBorder="1" applyAlignment="1">
      <alignment horizontal="center"/>
    </xf>
    <xf numFmtId="0" fontId="17" fillId="0" borderId="12" xfId="1" applyBorder="1" applyAlignment="1">
      <alignment horizontal="center"/>
    </xf>
    <xf numFmtId="0" fontId="17" fillId="0" borderId="62" xfId="1" applyFill="1" applyBorder="1" applyAlignment="1">
      <alignment horizontal="center"/>
    </xf>
    <xf numFmtId="0" fontId="17" fillId="0" borderId="52" xfId="1" applyFill="1" applyBorder="1" applyAlignment="1">
      <alignment horizontal="center"/>
    </xf>
    <xf numFmtId="0" fontId="17" fillId="0" borderId="33" xfId="1" applyBorder="1"/>
    <xf numFmtId="0" fontId="17" fillId="0" borderId="42" xfId="1" applyBorder="1"/>
    <xf numFmtId="0" fontId="17" fillId="0" borderId="22" xfId="1" applyBorder="1" applyAlignment="1">
      <alignment horizontal="center"/>
    </xf>
    <xf numFmtId="0" fontId="17" fillId="0" borderId="27" xfId="1" applyBorder="1" applyAlignment="1">
      <alignment horizontal="center"/>
    </xf>
    <xf numFmtId="0" fontId="12" fillId="2" borderId="2" xfId="0" applyFont="1" applyFill="1" applyBorder="1" applyAlignment="1">
      <alignment horizontal="center"/>
    </xf>
    <xf numFmtId="0" fontId="8" fillId="2" borderId="24" xfId="0" applyFont="1" applyFill="1" applyBorder="1" applyAlignment="1">
      <alignment horizontal="left"/>
    </xf>
    <xf numFmtId="0" fontId="11" fillId="2" borderId="24" xfId="0" applyFont="1" applyFill="1" applyBorder="1" applyAlignment="1">
      <alignment horizontal="center"/>
    </xf>
    <xf numFmtId="0" fontId="13" fillId="2" borderId="25" xfId="0" applyFont="1" applyFill="1" applyBorder="1" applyAlignment="1">
      <alignment horizontal="center"/>
    </xf>
    <xf numFmtId="0" fontId="13" fillId="2" borderId="41" xfId="0" applyFont="1" applyFill="1" applyBorder="1" applyAlignment="1">
      <alignment horizontal="center"/>
    </xf>
    <xf numFmtId="0" fontId="13" fillId="2" borderId="40" xfId="0" applyFont="1" applyFill="1" applyBorder="1" applyAlignment="1">
      <alignment horizontal="center"/>
    </xf>
    <xf numFmtId="0" fontId="12" fillId="2" borderId="19" xfId="0" applyFont="1" applyFill="1" applyBorder="1"/>
    <xf numFmtId="0" fontId="12" fillId="2" borderId="55" xfId="0" applyFont="1" applyFill="1" applyBorder="1" applyAlignment="1">
      <alignment horizontal="center"/>
    </xf>
    <xf numFmtId="0" fontId="11" fillId="2" borderId="53" xfId="0" applyFont="1" applyFill="1" applyBorder="1" applyAlignment="1">
      <alignment horizontal="center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4"/>
  <sheetViews>
    <sheetView zoomScale="80" zoomScaleNormal="80" workbookViewId="0">
      <selection activeCell="B28" sqref="B28"/>
    </sheetView>
  </sheetViews>
  <sheetFormatPr defaultRowHeight="15" x14ac:dyDescent="0.25"/>
  <cols>
    <col min="1" max="1" width="5.140625" customWidth="1"/>
    <col min="2" max="2" width="27" customWidth="1"/>
    <col min="3" max="3" width="7.7109375" customWidth="1"/>
  </cols>
  <sheetData>
    <row r="1" spans="1:9" x14ac:dyDescent="0.25">
      <c r="A1" s="337" t="s">
        <v>34</v>
      </c>
      <c r="B1" s="337"/>
      <c r="C1" s="337"/>
      <c r="D1" s="337"/>
      <c r="E1" s="337"/>
      <c r="F1" s="337"/>
      <c r="G1" s="337"/>
      <c r="H1" s="337"/>
      <c r="I1" s="337"/>
    </row>
    <row r="2" spans="1:9" ht="15.75" thickBot="1" x14ac:dyDescent="0.3">
      <c r="A2" s="338"/>
      <c r="B2" s="338"/>
      <c r="C2" s="338"/>
      <c r="D2" s="338"/>
      <c r="E2" s="338"/>
      <c r="F2" s="338"/>
      <c r="G2" s="338"/>
      <c r="H2" s="338"/>
      <c r="I2" s="338"/>
    </row>
    <row r="3" spans="1:9" ht="16.5" thickBot="1" x14ac:dyDescent="0.3">
      <c r="A3" s="339"/>
      <c r="B3" s="341" t="s">
        <v>0</v>
      </c>
      <c r="C3" s="1" t="s">
        <v>1</v>
      </c>
      <c r="D3" s="343"/>
      <c r="E3" s="343"/>
      <c r="F3" s="344" t="s">
        <v>2</v>
      </c>
      <c r="G3" s="344"/>
      <c r="H3" s="344"/>
      <c r="I3" s="345" t="s">
        <v>3</v>
      </c>
    </row>
    <row r="4" spans="1:9" ht="16.5" thickBot="1" x14ac:dyDescent="0.3">
      <c r="A4" s="340"/>
      <c r="B4" s="342"/>
      <c r="C4" s="2" t="s">
        <v>4</v>
      </c>
      <c r="D4" s="3">
        <v>1</v>
      </c>
      <c r="E4" s="4">
        <v>2</v>
      </c>
      <c r="F4" s="5">
        <v>0</v>
      </c>
      <c r="G4" s="6">
        <v>1</v>
      </c>
      <c r="H4" s="7">
        <v>2</v>
      </c>
      <c r="I4" s="346"/>
    </row>
    <row r="5" spans="1:9" ht="15.75" x14ac:dyDescent="0.25">
      <c r="A5" s="8">
        <v>1</v>
      </c>
      <c r="B5" s="34" t="s">
        <v>23</v>
      </c>
      <c r="C5" s="9" t="s">
        <v>5</v>
      </c>
      <c r="D5" s="9">
        <v>1</v>
      </c>
      <c r="E5" s="10">
        <v>2</v>
      </c>
      <c r="F5" s="11"/>
      <c r="G5" s="10">
        <f>17+0.5</f>
        <v>17.5</v>
      </c>
      <c r="H5" s="10">
        <f>16+2.8+2.5</f>
        <v>21.3</v>
      </c>
      <c r="I5" s="12">
        <f t="shared" ref="I5:I34" si="0">SUM(F5:H5)</f>
        <v>38.799999999999997</v>
      </c>
    </row>
    <row r="6" spans="1:9" ht="15.75" x14ac:dyDescent="0.25">
      <c r="A6" s="13">
        <v>2</v>
      </c>
      <c r="B6" s="20" t="s">
        <v>8</v>
      </c>
      <c r="C6" s="15"/>
      <c r="D6" s="15">
        <v>5</v>
      </c>
      <c r="E6" s="16">
        <v>6</v>
      </c>
      <c r="F6" s="17">
        <v>2.5</v>
      </c>
      <c r="G6" s="16">
        <f>13+3.5+2</f>
        <v>18.5</v>
      </c>
      <c r="H6" s="16">
        <f>12.5+2.1+2</f>
        <v>16.600000000000001</v>
      </c>
      <c r="I6" s="18">
        <f t="shared" si="0"/>
        <v>37.6</v>
      </c>
    </row>
    <row r="7" spans="1:9" ht="15.75" x14ac:dyDescent="0.25">
      <c r="A7" s="13">
        <v>3</v>
      </c>
      <c r="B7" s="20" t="s">
        <v>6</v>
      </c>
      <c r="C7" s="15" t="s">
        <v>5</v>
      </c>
      <c r="D7" s="15">
        <v>4</v>
      </c>
      <c r="E7" s="16">
        <v>1</v>
      </c>
      <c r="F7" s="17">
        <v>1.5</v>
      </c>
      <c r="G7" s="16">
        <f>14+2.8</f>
        <v>16.8</v>
      </c>
      <c r="H7" s="16">
        <f>17+1</f>
        <v>18</v>
      </c>
      <c r="I7" s="18">
        <f t="shared" si="0"/>
        <v>36.299999999999997</v>
      </c>
    </row>
    <row r="8" spans="1:9" ht="15.75" x14ac:dyDescent="0.25">
      <c r="A8" s="13">
        <v>4</v>
      </c>
      <c r="B8" s="19" t="s">
        <v>19</v>
      </c>
      <c r="C8" s="15">
        <v>10</v>
      </c>
      <c r="D8" s="15">
        <v>2</v>
      </c>
      <c r="E8" s="16">
        <v>3</v>
      </c>
      <c r="F8" s="17"/>
      <c r="G8" s="16">
        <f>16</f>
        <v>16</v>
      </c>
      <c r="H8" s="16">
        <f>14+1.4+0.5</f>
        <v>15.9</v>
      </c>
      <c r="I8" s="18">
        <f t="shared" si="0"/>
        <v>31.9</v>
      </c>
    </row>
    <row r="9" spans="1:9" ht="15.75" x14ac:dyDescent="0.25">
      <c r="A9" s="13">
        <v>5</v>
      </c>
      <c r="B9" s="20" t="s">
        <v>22</v>
      </c>
      <c r="C9" s="15" t="s">
        <v>5</v>
      </c>
      <c r="D9" s="15">
        <v>6</v>
      </c>
      <c r="E9" s="16">
        <v>5</v>
      </c>
      <c r="F9" s="17">
        <v>2</v>
      </c>
      <c r="G9" s="16">
        <f>12.5+2.1</f>
        <v>14.6</v>
      </c>
      <c r="H9" s="16">
        <f>13+1.5</f>
        <v>14.5</v>
      </c>
      <c r="I9" s="18">
        <f t="shared" si="0"/>
        <v>31.1</v>
      </c>
    </row>
    <row r="10" spans="1:9" ht="15.75" x14ac:dyDescent="0.25">
      <c r="A10" s="13">
        <v>6</v>
      </c>
      <c r="B10" s="20" t="s">
        <v>24</v>
      </c>
      <c r="C10" s="15">
        <v>10</v>
      </c>
      <c r="D10" s="15">
        <v>1</v>
      </c>
      <c r="E10" s="16">
        <v>4</v>
      </c>
      <c r="F10" s="17"/>
      <c r="G10" s="16">
        <f>11.5+1.5</f>
        <v>13</v>
      </c>
      <c r="H10" s="16">
        <f>14+2.8</f>
        <v>16.8</v>
      </c>
      <c r="I10" s="18">
        <f t="shared" si="0"/>
        <v>29.8</v>
      </c>
    </row>
    <row r="11" spans="1:9" ht="15.75" x14ac:dyDescent="0.25">
      <c r="A11" s="13">
        <v>7</v>
      </c>
      <c r="B11" s="14" t="s">
        <v>7</v>
      </c>
      <c r="C11" s="15" t="s">
        <v>5</v>
      </c>
      <c r="D11" s="15">
        <v>2</v>
      </c>
      <c r="E11" s="16">
        <v>8</v>
      </c>
      <c r="F11" s="17"/>
      <c r="G11" s="16">
        <f>10.5+0.5+2.5</f>
        <v>13.5</v>
      </c>
      <c r="H11" s="16">
        <f>11.5+1.4</f>
        <v>12.9</v>
      </c>
      <c r="I11" s="18">
        <f t="shared" si="0"/>
        <v>26.4</v>
      </c>
    </row>
    <row r="12" spans="1:9" ht="15.75" x14ac:dyDescent="0.25">
      <c r="A12" s="13">
        <v>8</v>
      </c>
      <c r="B12" s="20" t="s">
        <v>9</v>
      </c>
      <c r="C12" s="15" t="s">
        <v>5</v>
      </c>
      <c r="D12" s="15">
        <v>3</v>
      </c>
      <c r="E12" s="16">
        <v>1</v>
      </c>
      <c r="F12" s="17"/>
      <c r="G12" s="16">
        <f>15</f>
        <v>15</v>
      </c>
      <c r="H12" s="16">
        <f>6.5+2</f>
        <v>8.5</v>
      </c>
      <c r="I12" s="18">
        <f t="shared" si="0"/>
        <v>23.5</v>
      </c>
    </row>
    <row r="13" spans="1:9" ht="15.75" x14ac:dyDescent="0.25">
      <c r="A13" s="13">
        <v>9</v>
      </c>
      <c r="B13" s="20" t="s">
        <v>28</v>
      </c>
      <c r="C13" s="15">
        <v>17</v>
      </c>
      <c r="D13" s="15">
        <v>4</v>
      </c>
      <c r="E13" s="16">
        <v>7</v>
      </c>
      <c r="F13" s="17"/>
      <c r="G13" s="16">
        <f>8.5+1+1</f>
        <v>10.5</v>
      </c>
      <c r="H13" s="16">
        <f>12</f>
        <v>12</v>
      </c>
      <c r="I13" s="18">
        <f t="shared" si="0"/>
        <v>22.5</v>
      </c>
    </row>
    <row r="14" spans="1:9" ht="15.75" x14ac:dyDescent="0.25">
      <c r="A14" s="13">
        <v>10</v>
      </c>
      <c r="B14" s="20" t="s">
        <v>10</v>
      </c>
      <c r="C14" s="15"/>
      <c r="D14" s="15">
        <v>8</v>
      </c>
      <c r="E14" s="16">
        <v>3</v>
      </c>
      <c r="F14" s="17">
        <v>1</v>
      </c>
      <c r="G14" s="16">
        <f>11.5</f>
        <v>11.5</v>
      </c>
      <c r="H14" s="16">
        <v>9.5</v>
      </c>
      <c r="I14" s="18">
        <f t="shared" si="0"/>
        <v>22</v>
      </c>
    </row>
    <row r="15" spans="1:9" ht="15.75" x14ac:dyDescent="0.25">
      <c r="A15" s="13">
        <v>11</v>
      </c>
      <c r="B15" s="14" t="s">
        <v>14</v>
      </c>
      <c r="C15" s="15">
        <v>8</v>
      </c>
      <c r="D15" s="15">
        <v>10</v>
      </c>
      <c r="E15" s="16">
        <v>2</v>
      </c>
      <c r="F15" s="17"/>
      <c r="G15" s="16">
        <f>10.5</f>
        <v>10.5</v>
      </c>
      <c r="H15" s="16">
        <f>10.5</f>
        <v>10.5</v>
      </c>
      <c r="I15" s="18">
        <f t="shared" si="0"/>
        <v>21</v>
      </c>
    </row>
    <row r="16" spans="1:9" ht="15.75" x14ac:dyDescent="0.25">
      <c r="A16" s="13">
        <v>12</v>
      </c>
      <c r="B16" s="20" t="s">
        <v>27</v>
      </c>
      <c r="C16" s="15"/>
      <c r="D16" s="15">
        <v>3</v>
      </c>
      <c r="E16" s="16">
        <v>10</v>
      </c>
      <c r="F16" s="17"/>
      <c r="G16" s="16">
        <f>9.5+1</f>
        <v>10.5</v>
      </c>
      <c r="H16" s="16">
        <f>10</f>
        <v>10</v>
      </c>
      <c r="I16" s="18">
        <f t="shared" si="0"/>
        <v>20.5</v>
      </c>
    </row>
    <row r="17" spans="1:9" ht="15.75" x14ac:dyDescent="0.25">
      <c r="A17" s="13">
        <v>13</v>
      </c>
      <c r="B17" s="19" t="s">
        <v>18</v>
      </c>
      <c r="C17" s="15">
        <v>3</v>
      </c>
      <c r="D17" s="15">
        <v>6</v>
      </c>
      <c r="E17" s="16">
        <v>9</v>
      </c>
      <c r="F17" s="17"/>
      <c r="G17" s="16">
        <f>7+1.5</f>
        <v>8.5</v>
      </c>
      <c r="H17" s="16">
        <f>11</f>
        <v>11</v>
      </c>
      <c r="I17" s="18">
        <f t="shared" si="0"/>
        <v>19.5</v>
      </c>
    </row>
    <row r="18" spans="1:9" ht="15.75" x14ac:dyDescent="0.25">
      <c r="A18" s="13">
        <v>14</v>
      </c>
      <c r="B18" s="14" t="s">
        <v>13</v>
      </c>
      <c r="C18" s="15">
        <v>3</v>
      </c>
      <c r="D18" s="15">
        <v>7</v>
      </c>
      <c r="E18" s="16">
        <v>6</v>
      </c>
      <c r="F18" s="17">
        <v>0.5</v>
      </c>
      <c r="G18" s="16">
        <f>12-2</f>
        <v>10</v>
      </c>
      <c r="H18" s="16">
        <v>7</v>
      </c>
      <c r="I18" s="18">
        <f t="shared" si="0"/>
        <v>17.5</v>
      </c>
    </row>
    <row r="19" spans="1:9" ht="15.75" x14ac:dyDescent="0.25">
      <c r="A19" s="13">
        <v>15</v>
      </c>
      <c r="B19" s="14" t="s">
        <v>16</v>
      </c>
      <c r="C19" s="15" t="s">
        <v>5</v>
      </c>
      <c r="D19" s="15">
        <v>4</v>
      </c>
      <c r="E19" s="16">
        <v>1</v>
      </c>
      <c r="F19" s="17"/>
      <c r="G19" s="16">
        <f>3.5+2</f>
        <v>5.5</v>
      </c>
      <c r="H19" s="16">
        <f>11.5+0.5</f>
        <v>12</v>
      </c>
      <c r="I19" s="18">
        <f t="shared" si="0"/>
        <v>17.5</v>
      </c>
    </row>
    <row r="20" spans="1:9" ht="15.75" x14ac:dyDescent="0.25">
      <c r="A20" s="13">
        <v>16</v>
      </c>
      <c r="B20" s="20" t="s">
        <v>20</v>
      </c>
      <c r="C20" s="15" t="s">
        <v>5</v>
      </c>
      <c r="D20" s="15">
        <v>9</v>
      </c>
      <c r="E20" s="16">
        <v>8</v>
      </c>
      <c r="F20" s="17"/>
      <c r="G20" s="16">
        <v>11</v>
      </c>
      <c r="H20" s="16">
        <f>6</f>
        <v>6</v>
      </c>
      <c r="I20" s="18">
        <f t="shared" si="0"/>
        <v>17</v>
      </c>
    </row>
    <row r="21" spans="1:9" ht="15.75" x14ac:dyDescent="0.25">
      <c r="A21" s="13">
        <v>17</v>
      </c>
      <c r="B21" s="26" t="s">
        <v>21</v>
      </c>
      <c r="C21" s="15" t="s">
        <v>5</v>
      </c>
      <c r="D21" s="15">
        <v>1</v>
      </c>
      <c r="E21" s="16">
        <v>7</v>
      </c>
      <c r="F21" s="17"/>
      <c r="G21" s="16">
        <f>6.5+2.5</f>
        <v>9</v>
      </c>
      <c r="H21" s="16">
        <f>6.5+1</f>
        <v>7.5</v>
      </c>
      <c r="I21" s="18">
        <f t="shared" si="0"/>
        <v>16.5</v>
      </c>
    </row>
    <row r="22" spans="1:9" ht="15.75" x14ac:dyDescent="0.25">
      <c r="A22" s="13">
        <v>18</v>
      </c>
      <c r="B22" s="14" t="s">
        <v>12</v>
      </c>
      <c r="C22" s="15">
        <v>7</v>
      </c>
      <c r="D22" s="15">
        <v>7</v>
      </c>
      <c r="E22" s="16">
        <v>4</v>
      </c>
      <c r="F22" s="17"/>
      <c r="G22" s="16">
        <f>6.5</f>
        <v>6.5</v>
      </c>
      <c r="H22" s="16">
        <v>8.5</v>
      </c>
      <c r="I22" s="18">
        <f t="shared" si="0"/>
        <v>15</v>
      </c>
    </row>
    <row r="23" spans="1:9" ht="15.75" x14ac:dyDescent="0.25">
      <c r="A23" s="13">
        <v>19</v>
      </c>
      <c r="B23" s="20" t="s">
        <v>25</v>
      </c>
      <c r="C23" s="15">
        <v>19</v>
      </c>
      <c r="D23" s="15">
        <v>3</v>
      </c>
      <c r="E23" s="16">
        <v>5</v>
      </c>
      <c r="F23" s="17"/>
      <c r="G23" s="16">
        <f>4.5+2-2</f>
        <v>4.5</v>
      </c>
      <c r="H23" s="16">
        <f>7.5+1</f>
        <v>8.5</v>
      </c>
      <c r="I23" s="18">
        <f t="shared" si="0"/>
        <v>13</v>
      </c>
    </row>
    <row r="24" spans="1:9" ht="15.75" x14ac:dyDescent="0.25">
      <c r="A24" s="13">
        <v>20</v>
      </c>
      <c r="B24" s="20" t="s">
        <v>11</v>
      </c>
      <c r="C24" s="15">
        <v>1</v>
      </c>
      <c r="D24" s="15">
        <v>2</v>
      </c>
      <c r="E24" s="16">
        <v>4</v>
      </c>
      <c r="F24" s="17"/>
      <c r="G24" s="16">
        <f>5.5+1</f>
        <v>6.5</v>
      </c>
      <c r="H24" s="16">
        <f>3.5+2</f>
        <v>5.5</v>
      </c>
      <c r="I24" s="18">
        <f t="shared" si="0"/>
        <v>12</v>
      </c>
    </row>
    <row r="25" spans="1:9" ht="15.75" x14ac:dyDescent="0.25">
      <c r="A25" s="13">
        <v>21</v>
      </c>
      <c r="B25" s="20" t="s">
        <v>31</v>
      </c>
      <c r="C25" s="15" t="s">
        <v>5</v>
      </c>
      <c r="D25" s="15">
        <v>8</v>
      </c>
      <c r="E25" s="16">
        <v>9</v>
      </c>
      <c r="F25" s="17"/>
      <c r="G25" s="16">
        <v>6</v>
      </c>
      <c r="H25" s="16">
        <v>5.5</v>
      </c>
      <c r="I25" s="18">
        <f t="shared" si="0"/>
        <v>11.5</v>
      </c>
    </row>
    <row r="26" spans="1:9" ht="15.75" x14ac:dyDescent="0.25">
      <c r="A26" s="13">
        <v>22</v>
      </c>
      <c r="B26" s="14" t="s">
        <v>17</v>
      </c>
      <c r="C26" s="15" t="s">
        <v>5</v>
      </c>
      <c r="D26" s="15">
        <v>5</v>
      </c>
      <c r="E26" s="16">
        <v>2</v>
      </c>
      <c r="F26" s="17"/>
      <c r="G26" s="16">
        <f>2.5</f>
        <v>2.5</v>
      </c>
      <c r="H26" s="16">
        <f>5.5+2.5</f>
        <v>8</v>
      </c>
      <c r="I26" s="18">
        <f t="shared" si="0"/>
        <v>10.5</v>
      </c>
    </row>
    <row r="27" spans="1:9" ht="15.75" x14ac:dyDescent="0.25">
      <c r="A27" s="13">
        <v>23</v>
      </c>
      <c r="B27" s="20" t="s">
        <v>33</v>
      </c>
      <c r="C27" s="15">
        <v>18</v>
      </c>
      <c r="D27" s="15">
        <v>9</v>
      </c>
      <c r="E27" s="16">
        <v>5</v>
      </c>
      <c r="F27" s="17"/>
      <c r="G27" s="16">
        <f>5.5</f>
        <v>5.5</v>
      </c>
      <c r="H27" s="16">
        <f>2.5+2</f>
        <v>4.5</v>
      </c>
      <c r="I27" s="18">
        <f t="shared" si="0"/>
        <v>10</v>
      </c>
    </row>
    <row r="28" spans="1:9" ht="15.75" x14ac:dyDescent="0.25">
      <c r="A28" s="13">
        <v>24</v>
      </c>
      <c r="B28" s="20" t="s">
        <v>29</v>
      </c>
      <c r="C28" s="15">
        <v>2</v>
      </c>
      <c r="D28" s="15">
        <v>5</v>
      </c>
      <c r="E28" s="16">
        <v>3</v>
      </c>
      <c r="F28" s="17"/>
      <c r="G28" s="16">
        <f>7.5</f>
        <v>7.5</v>
      </c>
      <c r="H28" s="16">
        <f>4.5+1.5-2-3</f>
        <v>1</v>
      </c>
      <c r="I28" s="18">
        <f t="shared" si="0"/>
        <v>8.5</v>
      </c>
    </row>
    <row r="29" spans="1:9" ht="15.75" x14ac:dyDescent="0.25">
      <c r="A29" s="13">
        <v>25</v>
      </c>
      <c r="B29" s="20" t="s">
        <v>26</v>
      </c>
      <c r="C29" s="15"/>
      <c r="D29" s="15">
        <v>6</v>
      </c>
      <c r="E29" s="16">
        <v>7</v>
      </c>
      <c r="F29" s="17"/>
      <c r="G29" s="16">
        <f>2</f>
        <v>2</v>
      </c>
      <c r="H29" s="16">
        <v>1.5</v>
      </c>
      <c r="I29" s="18">
        <f t="shared" si="0"/>
        <v>3.5</v>
      </c>
    </row>
    <row r="30" spans="1:9" ht="15.75" x14ac:dyDescent="0.25">
      <c r="A30" s="13">
        <v>26</v>
      </c>
      <c r="B30" s="14" t="s">
        <v>15</v>
      </c>
      <c r="C30" s="15">
        <v>5</v>
      </c>
      <c r="D30" s="15">
        <v>7</v>
      </c>
      <c r="E30" s="16">
        <v>6</v>
      </c>
      <c r="F30" s="17"/>
      <c r="G30" s="16">
        <f>1.5</f>
        <v>1.5</v>
      </c>
      <c r="H30" s="16">
        <v>2</v>
      </c>
      <c r="I30" s="18">
        <f t="shared" si="0"/>
        <v>3.5</v>
      </c>
    </row>
    <row r="31" spans="1:9" ht="15.75" x14ac:dyDescent="0.25">
      <c r="A31" s="13">
        <v>27</v>
      </c>
      <c r="B31" s="20" t="s">
        <v>32</v>
      </c>
      <c r="C31" s="15"/>
      <c r="D31" s="15">
        <v>8</v>
      </c>
      <c r="E31" s="16">
        <v>8</v>
      </c>
      <c r="F31" s="17"/>
      <c r="G31" s="16">
        <v>1</v>
      </c>
      <c r="H31" s="16">
        <v>1</v>
      </c>
      <c r="I31" s="18">
        <f t="shared" si="0"/>
        <v>2</v>
      </c>
    </row>
    <row r="32" spans="1:9" ht="16.5" thickBot="1" x14ac:dyDescent="0.3">
      <c r="A32" s="21">
        <v>28</v>
      </c>
      <c r="B32" s="27" t="s">
        <v>30</v>
      </c>
      <c r="C32" s="22"/>
      <c r="D32" s="22">
        <v>9</v>
      </c>
      <c r="E32" s="23">
        <v>9</v>
      </c>
      <c r="F32" s="24"/>
      <c r="G32" s="23">
        <v>0.5</v>
      </c>
      <c r="H32" s="23">
        <f>0.5-2</f>
        <v>-1.5</v>
      </c>
      <c r="I32" s="25">
        <f t="shared" si="0"/>
        <v>-1</v>
      </c>
    </row>
    <row r="33" spans="1:9" ht="15.75" hidden="1" x14ac:dyDescent="0.25">
      <c r="A33" s="28">
        <v>29</v>
      </c>
      <c r="B33" s="29"/>
      <c r="C33" s="30"/>
      <c r="D33" s="30"/>
      <c r="E33" s="31"/>
      <c r="F33" s="32"/>
      <c r="G33" s="31"/>
      <c r="H33" s="31"/>
      <c r="I33" s="33">
        <f t="shared" si="0"/>
        <v>0</v>
      </c>
    </row>
    <row r="34" spans="1:9" ht="16.5" hidden="1" thickBot="1" x14ac:dyDescent="0.3">
      <c r="A34" s="21">
        <v>30</v>
      </c>
      <c r="B34" s="27"/>
      <c r="C34" s="22"/>
      <c r="D34" s="22"/>
      <c r="E34" s="23"/>
      <c r="F34" s="24"/>
      <c r="G34" s="23"/>
      <c r="H34" s="23"/>
      <c r="I34" s="25">
        <f t="shared" si="0"/>
        <v>0</v>
      </c>
    </row>
  </sheetData>
  <sortState ref="B5:I32">
    <sortCondition descending="1" ref="I5:I32"/>
  </sortState>
  <mergeCells count="6">
    <mergeCell ref="A1:I2"/>
    <mergeCell ref="A3:A4"/>
    <mergeCell ref="B3:B4"/>
    <mergeCell ref="D3:E3"/>
    <mergeCell ref="F3:H3"/>
    <mergeCell ref="I3:I4"/>
  </mergeCells>
  <pageMargins left="0.70866141732283472" right="0.70866141732283472" top="0.74803149606299213" bottom="0.74803149606299213" header="0.31496062992125984" footer="0.31496062992125984"/>
  <pageSetup paperSize="9" scale="91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2"/>
  <sheetViews>
    <sheetView topLeftCell="A4" zoomScale="80" zoomScaleNormal="80" workbookViewId="0">
      <selection activeCell="B30" sqref="B30"/>
    </sheetView>
  </sheetViews>
  <sheetFormatPr defaultRowHeight="15" x14ac:dyDescent="0.25"/>
  <cols>
    <col min="1" max="1" width="5.140625" customWidth="1"/>
    <col min="2" max="2" width="27" customWidth="1"/>
    <col min="3" max="3" width="7.7109375" customWidth="1"/>
  </cols>
  <sheetData>
    <row r="1" spans="1:9" x14ac:dyDescent="0.25">
      <c r="A1" s="347" t="s">
        <v>35</v>
      </c>
      <c r="B1" s="348"/>
      <c r="C1" s="348"/>
      <c r="D1" s="348"/>
      <c r="E1" s="348"/>
      <c r="F1" s="348"/>
      <c r="G1" s="348"/>
      <c r="H1" s="348"/>
      <c r="I1" s="349"/>
    </row>
    <row r="2" spans="1:9" ht="15.75" thickBot="1" x14ac:dyDescent="0.3">
      <c r="A2" s="350"/>
      <c r="B2" s="338"/>
      <c r="C2" s="338"/>
      <c r="D2" s="338"/>
      <c r="E2" s="338"/>
      <c r="F2" s="338"/>
      <c r="G2" s="338"/>
      <c r="H2" s="338"/>
      <c r="I2" s="351"/>
    </row>
    <row r="3" spans="1:9" ht="16.5" thickBot="1" x14ac:dyDescent="0.3">
      <c r="A3" s="339"/>
      <c r="B3" s="341" t="s">
        <v>0</v>
      </c>
      <c r="C3" s="1" t="s">
        <v>1</v>
      </c>
      <c r="D3" s="343"/>
      <c r="E3" s="343"/>
      <c r="F3" s="344" t="s">
        <v>2</v>
      </c>
      <c r="G3" s="344"/>
      <c r="H3" s="344"/>
      <c r="I3" s="345" t="s">
        <v>3</v>
      </c>
    </row>
    <row r="4" spans="1:9" ht="15.75" x14ac:dyDescent="0.25">
      <c r="A4" s="340"/>
      <c r="B4" s="342"/>
      <c r="C4" s="49" t="s">
        <v>4</v>
      </c>
      <c r="D4" s="47">
        <v>1</v>
      </c>
      <c r="E4" s="4">
        <v>2</v>
      </c>
      <c r="F4" s="5">
        <v>0</v>
      </c>
      <c r="G4" s="6">
        <v>1</v>
      </c>
      <c r="H4" s="7">
        <v>2</v>
      </c>
      <c r="I4" s="346"/>
    </row>
    <row r="5" spans="1:9" ht="15.75" x14ac:dyDescent="0.25">
      <c r="A5" s="13">
        <v>1</v>
      </c>
      <c r="B5" s="42" t="s">
        <v>51</v>
      </c>
      <c r="C5" s="17" t="s">
        <v>5</v>
      </c>
      <c r="D5" s="39">
        <v>2</v>
      </c>
      <c r="E5" s="62">
        <v>2</v>
      </c>
      <c r="F5" s="17"/>
      <c r="G5" s="39">
        <f>16+0.7</f>
        <v>16.7</v>
      </c>
      <c r="H5" s="16">
        <f>16+2.1+0.5</f>
        <v>18.600000000000001</v>
      </c>
      <c r="I5" s="18">
        <f t="shared" ref="I5:I36" si="0">SUM(F5:H5)</f>
        <v>35.299999999999997</v>
      </c>
    </row>
    <row r="6" spans="1:9" ht="15.75" x14ac:dyDescent="0.25">
      <c r="A6" s="13">
        <v>2</v>
      </c>
      <c r="B6" s="41" t="s">
        <v>47</v>
      </c>
      <c r="C6" s="17" t="s">
        <v>5</v>
      </c>
      <c r="D6" s="39">
        <v>4</v>
      </c>
      <c r="E6" s="62">
        <v>5</v>
      </c>
      <c r="F6" s="17"/>
      <c r="G6" s="39">
        <f>14+0.7-2+2.5</f>
        <v>15.2</v>
      </c>
      <c r="H6" s="16">
        <f>13+4.2</f>
        <v>17.2</v>
      </c>
      <c r="I6" s="18">
        <f t="shared" si="0"/>
        <v>32.4</v>
      </c>
    </row>
    <row r="7" spans="1:9" ht="15.75" x14ac:dyDescent="0.25">
      <c r="A7" s="13">
        <v>3</v>
      </c>
      <c r="B7" s="42" t="s">
        <v>48</v>
      </c>
      <c r="C7" s="17">
        <v>15</v>
      </c>
      <c r="D7" s="39">
        <v>6</v>
      </c>
      <c r="E7" s="62">
        <v>1</v>
      </c>
      <c r="F7" s="17">
        <v>0.5</v>
      </c>
      <c r="G7" s="39">
        <f>12.5+0.7</f>
        <v>13.2</v>
      </c>
      <c r="H7" s="16">
        <f>17+0.7</f>
        <v>17.7</v>
      </c>
      <c r="I7" s="18">
        <f t="shared" si="0"/>
        <v>31.4</v>
      </c>
    </row>
    <row r="8" spans="1:9" ht="15.75" x14ac:dyDescent="0.25">
      <c r="A8" s="13">
        <v>4</v>
      </c>
      <c r="B8" s="41" t="s">
        <v>44</v>
      </c>
      <c r="C8" s="17">
        <v>4</v>
      </c>
      <c r="D8" s="39">
        <v>1</v>
      </c>
      <c r="E8" s="62">
        <v>7</v>
      </c>
      <c r="F8" s="17"/>
      <c r="G8" s="39">
        <f>17+0.7+1</f>
        <v>18.7</v>
      </c>
      <c r="H8" s="16">
        <f>12</f>
        <v>12</v>
      </c>
      <c r="I8" s="18">
        <f t="shared" si="0"/>
        <v>30.7</v>
      </c>
    </row>
    <row r="9" spans="1:9" ht="18.75" x14ac:dyDescent="0.3">
      <c r="A9" s="13">
        <v>5</v>
      </c>
      <c r="B9" s="43" t="s">
        <v>55</v>
      </c>
      <c r="C9" s="51" t="s">
        <v>5</v>
      </c>
      <c r="D9" s="39">
        <v>5</v>
      </c>
      <c r="E9" s="62">
        <v>10</v>
      </c>
      <c r="F9" s="17"/>
      <c r="G9" s="39">
        <f>13+0.7+0.5</f>
        <v>14.2</v>
      </c>
      <c r="H9" s="16">
        <f>10.5+2</f>
        <v>12.5</v>
      </c>
      <c r="I9" s="18">
        <f t="shared" si="0"/>
        <v>26.7</v>
      </c>
    </row>
    <row r="10" spans="1:9" ht="15.75" x14ac:dyDescent="0.25">
      <c r="A10" s="13">
        <v>6</v>
      </c>
      <c r="B10" s="42" t="s">
        <v>7</v>
      </c>
      <c r="C10" s="17" t="s">
        <v>5</v>
      </c>
      <c r="D10" s="39">
        <v>11</v>
      </c>
      <c r="E10" s="62">
        <v>11</v>
      </c>
      <c r="F10" s="17">
        <v>2</v>
      </c>
      <c r="G10" s="39">
        <f>10+1.5</f>
        <v>11.5</v>
      </c>
      <c r="H10" s="16">
        <f>10+2.5</f>
        <v>12.5</v>
      </c>
      <c r="I10" s="18">
        <f t="shared" si="0"/>
        <v>26</v>
      </c>
    </row>
    <row r="11" spans="1:9" ht="15.75" x14ac:dyDescent="0.25">
      <c r="A11" s="13">
        <v>7</v>
      </c>
      <c r="B11" s="45" t="s">
        <v>36</v>
      </c>
      <c r="C11" s="17">
        <v>16</v>
      </c>
      <c r="D11" s="61">
        <v>8</v>
      </c>
      <c r="E11" s="63">
        <v>4</v>
      </c>
      <c r="F11" s="64">
        <v>2.5</v>
      </c>
      <c r="G11" s="61">
        <f>11.5+2.1-2</f>
        <v>11.6</v>
      </c>
      <c r="H11" s="38">
        <f>8+3</f>
        <v>11</v>
      </c>
      <c r="I11" s="18">
        <f t="shared" si="0"/>
        <v>25.1</v>
      </c>
    </row>
    <row r="12" spans="1:9" ht="15.75" x14ac:dyDescent="0.25">
      <c r="A12" s="13">
        <v>8</v>
      </c>
      <c r="B12" s="42" t="s">
        <v>38</v>
      </c>
      <c r="C12" s="17" t="s">
        <v>5</v>
      </c>
      <c r="D12" s="39">
        <v>9</v>
      </c>
      <c r="E12" s="62">
        <v>8</v>
      </c>
      <c r="F12" s="17">
        <v>1</v>
      </c>
      <c r="G12" s="39">
        <f>11</f>
        <v>11</v>
      </c>
      <c r="H12" s="16">
        <f>11.5</f>
        <v>11.5</v>
      </c>
      <c r="I12" s="18">
        <f t="shared" si="0"/>
        <v>23.5</v>
      </c>
    </row>
    <row r="13" spans="1:9" ht="15.75" x14ac:dyDescent="0.25">
      <c r="A13" s="13">
        <v>9</v>
      </c>
      <c r="B13" s="41" t="s">
        <v>53</v>
      </c>
      <c r="C13" s="17" t="s">
        <v>5</v>
      </c>
      <c r="D13" s="39">
        <v>10</v>
      </c>
      <c r="E13" s="62">
        <v>2</v>
      </c>
      <c r="F13" s="60">
        <v>1.5</v>
      </c>
      <c r="G13" s="39">
        <f>10.5-1</f>
        <v>9.5</v>
      </c>
      <c r="H13" s="16">
        <f>10+1</f>
        <v>11</v>
      </c>
      <c r="I13" s="18">
        <f t="shared" si="0"/>
        <v>22</v>
      </c>
    </row>
    <row r="14" spans="1:9" ht="15.75" x14ac:dyDescent="0.25">
      <c r="A14" s="13">
        <v>10</v>
      </c>
      <c r="B14" s="42" t="s">
        <v>9</v>
      </c>
      <c r="C14" s="17" t="s">
        <v>5</v>
      </c>
      <c r="D14" s="39">
        <v>7</v>
      </c>
      <c r="E14" s="62">
        <v>4</v>
      </c>
      <c r="F14" s="17"/>
      <c r="G14" s="39">
        <f>6+1</f>
        <v>7</v>
      </c>
      <c r="H14" s="16">
        <f>14+1.4-2+1.5</f>
        <v>14.9</v>
      </c>
      <c r="I14" s="18">
        <f t="shared" si="0"/>
        <v>21.9</v>
      </c>
    </row>
    <row r="15" spans="1:9" ht="15.75" x14ac:dyDescent="0.25">
      <c r="A15" s="13">
        <v>11</v>
      </c>
      <c r="B15" s="42" t="s">
        <v>19</v>
      </c>
      <c r="C15" s="17">
        <v>9</v>
      </c>
      <c r="D15" s="39">
        <v>3</v>
      </c>
      <c r="E15" s="62">
        <v>9</v>
      </c>
      <c r="F15" s="17"/>
      <c r="G15" s="39">
        <f>9+1.5</f>
        <v>10.5</v>
      </c>
      <c r="H15" s="16">
        <f>11</f>
        <v>11</v>
      </c>
      <c r="I15" s="18">
        <f t="shared" si="0"/>
        <v>21.5</v>
      </c>
    </row>
    <row r="16" spans="1:9" ht="15.75" x14ac:dyDescent="0.25">
      <c r="A16" s="13">
        <v>12</v>
      </c>
      <c r="B16" s="41" t="s">
        <v>41</v>
      </c>
      <c r="C16" s="17" t="s">
        <v>5</v>
      </c>
      <c r="D16" s="39">
        <v>5</v>
      </c>
      <c r="E16" s="62">
        <v>6</v>
      </c>
      <c r="F16" s="17"/>
      <c r="G16" s="39">
        <f>7+1</f>
        <v>8</v>
      </c>
      <c r="H16" s="16">
        <f>12.5</f>
        <v>12.5</v>
      </c>
      <c r="I16" s="18">
        <f t="shared" si="0"/>
        <v>20.5</v>
      </c>
    </row>
    <row r="17" spans="1:9" ht="15.75" x14ac:dyDescent="0.25">
      <c r="A17" s="13">
        <v>13</v>
      </c>
      <c r="B17" s="41" t="s">
        <v>18</v>
      </c>
      <c r="C17" s="17">
        <v>2</v>
      </c>
      <c r="D17" s="39">
        <v>2</v>
      </c>
      <c r="E17" s="62">
        <v>5</v>
      </c>
      <c r="F17" s="17"/>
      <c r="G17" s="39">
        <f>10+1.5</f>
        <v>11.5</v>
      </c>
      <c r="H17" s="16">
        <f>7+2</f>
        <v>9</v>
      </c>
      <c r="I17" s="18">
        <f t="shared" si="0"/>
        <v>20.5</v>
      </c>
    </row>
    <row r="18" spans="1:9" ht="15.75" x14ac:dyDescent="0.25">
      <c r="A18" s="13">
        <v>14</v>
      </c>
      <c r="B18" s="42" t="s">
        <v>49</v>
      </c>
      <c r="C18" s="17">
        <v>11</v>
      </c>
      <c r="D18" s="39">
        <v>4</v>
      </c>
      <c r="E18" s="62">
        <v>1</v>
      </c>
      <c r="F18" s="17"/>
      <c r="G18" s="39">
        <f>8</f>
        <v>8</v>
      </c>
      <c r="H18" s="16">
        <f>11+2-2</f>
        <v>11</v>
      </c>
      <c r="I18" s="18">
        <f t="shared" si="0"/>
        <v>19</v>
      </c>
    </row>
    <row r="19" spans="1:9" ht="18" x14ac:dyDescent="0.25">
      <c r="A19" s="13">
        <v>15</v>
      </c>
      <c r="B19" s="43" t="s">
        <v>54</v>
      </c>
      <c r="C19" s="50">
        <v>5</v>
      </c>
      <c r="D19" s="39">
        <v>7</v>
      </c>
      <c r="E19" s="62">
        <v>8</v>
      </c>
      <c r="F19" s="17"/>
      <c r="G19" s="39">
        <f>12</f>
        <v>12</v>
      </c>
      <c r="H19" s="16">
        <f>5.5+1</f>
        <v>6.5</v>
      </c>
      <c r="I19" s="18">
        <f t="shared" si="0"/>
        <v>18.5</v>
      </c>
    </row>
    <row r="20" spans="1:9" ht="15.75" x14ac:dyDescent="0.25">
      <c r="A20" s="13">
        <v>16</v>
      </c>
      <c r="B20" s="42" t="s">
        <v>20</v>
      </c>
      <c r="C20" s="17" t="s">
        <v>5</v>
      </c>
      <c r="D20" s="39">
        <v>6</v>
      </c>
      <c r="E20" s="62">
        <v>3</v>
      </c>
      <c r="F20" s="17"/>
      <c r="G20" s="39">
        <f>6.5+2</f>
        <v>8.5</v>
      </c>
      <c r="H20" s="16">
        <f>9-2</f>
        <v>7</v>
      </c>
      <c r="I20" s="18">
        <f t="shared" si="0"/>
        <v>15.5</v>
      </c>
    </row>
    <row r="21" spans="1:9" ht="18.75" x14ac:dyDescent="0.3">
      <c r="A21" s="13">
        <v>17</v>
      </c>
      <c r="B21" s="69" t="s">
        <v>15</v>
      </c>
      <c r="C21" s="51">
        <v>5</v>
      </c>
      <c r="D21" s="39">
        <v>8</v>
      </c>
      <c r="E21" s="62">
        <v>2</v>
      </c>
      <c r="F21" s="17"/>
      <c r="G21" s="39">
        <f>5.5</f>
        <v>5.5</v>
      </c>
      <c r="H21" s="16">
        <f>4.5+4</f>
        <v>8.5</v>
      </c>
      <c r="I21" s="18">
        <f t="shared" si="0"/>
        <v>14</v>
      </c>
    </row>
    <row r="22" spans="1:9" ht="15.75" x14ac:dyDescent="0.25">
      <c r="A22" s="13">
        <v>18</v>
      </c>
      <c r="B22" s="44" t="s">
        <v>31</v>
      </c>
      <c r="C22" s="17">
        <v>7</v>
      </c>
      <c r="D22" s="39">
        <v>1</v>
      </c>
      <c r="E22" s="62">
        <v>10</v>
      </c>
      <c r="F22" s="17"/>
      <c r="G22" s="39">
        <f>11</f>
        <v>11</v>
      </c>
      <c r="H22" s="16">
        <f>4.5-2</f>
        <v>2.5</v>
      </c>
      <c r="I22" s="18">
        <f t="shared" si="0"/>
        <v>13.5</v>
      </c>
    </row>
    <row r="23" spans="1:9" ht="15.75" x14ac:dyDescent="0.25">
      <c r="A23" s="13">
        <v>19</v>
      </c>
      <c r="B23" s="41" t="s">
        <v>50</v>
      </c>
      <c r="C23" s="17">
        <v>10</v>
      </c>
      <c r="D23" s="39">
        <v>2</v>
      </c>
      <c r="E23" s="62">
        <v>1</v>
      </c>
      <c r="F23" s="17"/>
      <c r="G23" s="39">
        <f>4.5+0.5</f>
        <v>5</v>
      </c>
      <c r="H23" s="16">
        <f>5.5+1</f>
        <v>6.5</v>
      </c>
      <c r="I23" s="18">
        <f t="shared" si="0"/>
        <v>11.5</v>
      </c>
    </row>
    <row r="24" spans="1:9" ht="15.75" x14ac:dyDescent="0.25">
      <c r="A24" s="13">
        <v>20</v>
      </c>
      <c r="B24" s="65" t="s">
        <v>42</v>
      </c>
      <c r="C24" s="17">
        <v>9</v>
      </c>
      <c r="D24" s="39">
        <v>1</v>
      </c>
      <c r="E24" s="62">
        <v>9</v>
      </c>
      <c r="F24" s="17"/>
      <c r="G24" s="39">
        <f>5.5+2.5</f>
        <v>8</v>
      </c>
      <c r="H24" s="16">
        <f>5-2</f>
        <v>3</v>
      </c>
      <c r="I24" s="18">
        <f t="shared" si="0"/>
        <v>11</v>
      </c>
    </row>
    <row r="25" spans="1:9" ht="15.75" x14ac:dyDescent="0.25">
      <c r="A25" s="13">
        <v>21</v>
      </c>
      <c r="B25" s="42" t="s">
        <v>40</v>
      </c>
      <c r="C25" s="17">
        <v>22</v>
      </c>
      <c r="D25" s="39">
        <v>10</v>
      </c>
      <c r="E25" s="62">
        <v>7</v>
      </c>
      <c r="F25" s="17"/>
      <c r="G25" s="39">
        <f>4.5</f>
        <v>4.5</v>
      </c>
      <c r="H25" s="16">
        <f>6</f>
        <v>6</v>
      </c>
      <c r="I25" s="18">
        <f t="shared" si="0"/>
        <v>10.5</v>
      </c>
    </row>
    <row r="26" spans="1:9" ht="15.75" x14ac:dyDescent="0.25">
      <c r="A26" s="13">
        <v>22</v>
      </c>
      <c r="B26" s="42" t="s">
        <v>14</v>
      </c>
      <c r="C26" s="17">
        <v>7</v>
      </c>
      <c r="D26" s="39">
        <v>9</v>
      </c>
      <c r="E26" s="62">
        <v>6</v>
      </c>
      <c r="F26" s="17"/>
      <c r="G26" s="39">
        <f>5-2</f>
        <v>3</v>
      </c>
      <c r="H26" s="16">
        <f>6.5</f>
        <v>6.5</v>
      </c>
      <c r="I26" s="18">
        <f t="shared" si="0"/>
        <v>9.5</v>
      </c>
    </row>
    <row r="27" spans="1:9" ht="15.75" x14ac:dyDescent="0.25">
      <c r="A27" s="13">
        <v>23</v>
      </c>
      <c r="B27" s="42" t="s">
        <v>52</v>
      </c>
      <c r="C27" s="17">
        <v>15</v>
      </c>
      <c r="D27" s="39">
        <v>3</v>
      </c>
      <c r="E27" s="62">
        <v>5</v>
      </c>
      <c r="F27" s="17"/>
      <c r="G27" s="39">
        <f>3.5+3.5</f>
        <v>7</v>
      </c>
      <c r="H27" s="16">
        <f>1.5</f>
        <v>1.5</v>
      </c>
      <c r="I27" s="18">
        <f t="shared" si="0"/>
        <v>8.5</v>
      </c>
    </row>
    <row r="28" spans="1:9" ht="15.75" x14ac:dyDescent="0.25">
      <c r="A28" s="13">
        <v>24</v>
      </c>
      <c r="B28" s="45" t="s">
        <v>39</v>
      </c>
      <c r="C28" s="17" t="s">
        <v>5</v>
      </c>
      <c r="D28" s="39">
        <v>5</v>
      </c>
      <c r="E28" s="62">
        <v>3</v>
      </c>
      <c r="F28" s="17"/>
      <c r="G28" s="39">
        <f>1.5</f>
        <v>1.5</v>
      </c>
      <c r="H28" s="16">
        <f>3.5+1</f>
        <v>4.5</v>
      </c>
      <c r="I28" s="18">
        <f t="shared" si="0"/>
        <v>6</v>
      </c>
    </row>
    <row r="29" spans="1:9" ht="15.75" x14ac:dyDescent="0.25">
      <c r="A29" s="13">
        <v>25</v>
      </c>
      <c r="B29" s="42" t="s">
        <v>45</v>
      </c>
      <c r="C29" s="17">
        <v>26</v>
      </c>
      <c r="D29" s="61">
        <v>4</v>
      </c>
      <c r="E29" s="63">
        <v>8</v>
      </c>
      <c r="F29" s="64"/>
      <c r="G29" s="61">
        <f>2.5+2.5</f>
        <v>5</v>
      </c>
      <c r="H29" s="38">
        <f>0</f>
        <v>0</v>
      </c>
      <c r="I29" s="18">
        <f t="shared" si="0"/>
        <v>5</v>
      </c>
    </row>
    <row r="30" spans="1:9" ht="15.75" x14ac:dyDescent="0.25">
      <c r="A30" s="13">
        <v>26</v>
      </c>
      <c r="B30" s="42" t="s">
        <v>26</v>
      </c>
      <c r="C30" s="17">
        <v>4</v>
      </c>
      <c r="D30" s="39">
        <v>8</v>
      </c>
      <c r="E30" s="62">
        <v>6</v>
      </c>
      <c r="F30" s="17"/>
      <c r="G30" s="39">
        <f>0</f>
        <v>0</v>
      </c>
      <c r="H30" s="16">
        <f>1</f>
        <v>1</v>
      </c>
      <c r="I30" s="18">
        <f t="shared" si="0"/>
        <v>1</v>
      </c>
    </row>
    <row r="31" spans="1:9" ht="18" x14ac:dyDescent="0.25">
      <c r="A31" s="54">
        <v>27</v>
      </c>
      <c r="B31" s="42" t="s">
        <v>37</v>
      </c>
      <c r="C31" s="17">
        <v>8</v>
      </c>
      <c r="D31" s="39">
        <v>9</v>
      </c>
      <c r="E31" s="62">
        <v>4</v>
      </c>
      <c r="F31" s="17"/>
      <c r="G31" s="39">
        <f>0</f>
        <v>0</v>
      </c>
      <c r="H31" s="16">
        <f>2.5+2.5-1-3</f>
        <v>1</v>
      </c>
      <c r="I31" s="55">
        <f t="shared" si="0"/>
        <v>1</v>
      </c>
    </row>
    <row r="32" spans="1:9" ht="18" hidden="1" x14ac:dyDescent="0.25">
      <c r="A32" s="54">
        <v>29</v>
      </c>
      <c r="B32" s="43"/>
      <c r="C32" s="50"/>
      <c r="D32" s="39"/>
      <c r="E32" s="62"/>
      <c r="F32" s="17"/>
      <c r="G32" s="39"/>
      <c r="H32" s="16"/>
      <c r="I32" s="55">
        <f t="shared" si="0"/>
        <v>0</v>
      </c>
    </row>
    <row r="33" spans="1:9" ht="18" hidden="1" x14ac:dyDescent="0.25">
      <c r="A33" s="54">
        <v>30</v>
      </c>
      <c r="B33" s="43"/>
      <c r="C33" s="50"/>
      <c r="D33" s="39"/>
      <c r="E33" s="62"/>
      <c r="F33" s="17"/>
      <c r="G33" s="39"/>
      <c r="H33" s="16"/>
      <c r="I33" s="55">
        <f t="shared" si="0"/>
        <v>0</v>
      </c>
    </row>
    <row r="34" spans="1:9" ht="18.75" x14ac:dyDescent="0.3">
      <c r="A34" s="56">
        <v>28</v>
      </c>
      <c r="B34" s="43" t="s">
        <v>56</v>
      </c>
      <c r="C34" s="51" t="s">
        <v>5</v>
      </c>
      <c r="D34" s="39">
        <v>6</v>
      </c>
      <c r="E34" s="62">
        <v>9</v>
      </c>
      <c r="F34" s="17"/>
      <c r="G34" s="39">
        <f>1</f>
        <v>1</v>
      </c>
      <c r="H34" s="16">
        <f>0</f>
        <v>0</v>
      </c>
      <c r="I34" s="55">
        <f t="shared" si="0"/>
        <v>1</v>
      </c>
    </row>
    <row r="35" spans="1:9" ht="18.75" x14ac:dyDescent="0.3">
      <c r="A35" s="57">
        <v>29</v>
      </c>
      <c r="B35" s="46" t="s">
        <v>46</v>
      </c>
      <c r="C35" s="17" t="s">
        <v>5</v>
      </c>
      <c r="D35" s="61">
        <v>10</v>
      </c>
      <c r="E35" s="63">
        <v>10</v>
      </c>
      <c r="F35" s="64"/>
      <c r="G35" s="61">
        <f>0</f>
        <v>0</v>
      </c>
      <c r="H35" s="38">
        <f>0</f>
        <v>0</v>
      </c>
      <c r="I35" s="55">
        <f t="shared" si="0"/>
        <v>0</v>
      </c>
    </row>
    <row r="36" spans="1:9" ht="19.5" thickBot="1" x14ac:dyDescent="0.35">
      <c r="A36" s="58">
        <v>30</v>
      </c>
      <c r="B36" s="66" t="s">
        <v>43</v>
      </c>
      <c r="C36" s="24" t="s">
        <v>5</v>
      </c>
      <c r="D36" s="67">
        <v>7</v>
      </c>
      <c r="E36" s="68">
        <v>7</v>
      </c>
      <c r="F36" s="24"/>
      <c r="G36" s="67">
        <f>0.5+0.5-2</f>
        <v>-1</v>
      </c>
      <c r="H36" s="23">
        <f>0.5</f>
        <v>0.5</v>
      </c>
      <c r="I36" s="59">
        <f t="shared" si="0"/>
        <v>-0.5</v>
      </c>
    </row>
    <row r="37" spans="1:9" ht="18.75" x14ac:dyDescent="0.3">
      <c r="A37" s="52">
        <v>32</v>
      </c>
      <c r="B37" s="40"/>
      <c r="C37" s="48"/>
      <c r="D37" s="53"/>
      <c r="E37" s="53"/>
      <c r="F37" s="53"/>
      <c r="G37" s="53"/>
      <c r="H37" s="53"/>
      <c r="I37" s="31">
        <f t="shared" ref="I37" si="1">SUM(F37:H37)</f>
        <v>0</v>
      </c>
    </row>
    <row r="38" spans="1:9" ht="15.75" x14ac:dyDescent="0.25">
      <c r="A38" s="36">
        <v>33</v>
      </c>
      <c r="B38" s="36"/>
      <c r="C38" s="36"/>
      <c r="D38" s="36"/>
      <c r="E38" s="36"/>
      <c r="F38" s="36"/>
      <c r="G38" s="36"/>
      <c r="H38" s="36"/>
      <c r="I38" s="36"/>
    </row>
    <row r="39" spans="1:9" ht="15.75" x14ac:dyDescent="0.25">
      <c r="A39" s="37">
        <v>34</v>
      </c>
      <c r="B39" s="35"/>
      <c r="C39" s="35"/>
      <c r="D39" s="35"/>
      <c r="E39" s="35"/>
      <c r="F39" s="35"/>
      <c r="G39" s="35"/>
      <c r="H39" s="35"/>
      <c r="I39" s="35"/>
    </row>
    <row r="40" spans="1:9" ht="15.75" x14ac:dyDescent="0.25">
      <c r="A40" s="37">
        <v>35</v>
      </c>
      <c r="B40" s="35"/>
      <c r="C40" s="35"/>
      <c r="D40" s="35"/>
      <c r="E40" s="35"/>
      <c r="F40" s="35"/>
      <c r="G40" s="35"/>
      <c r="H40" s="35"/>
      <c r="I40" s="35"/>
    </row>
    <row r="41" spans="1:9" x14ac:dyDescent="0.25">
      <c r="A41" s="35"/>
      <c r="B41" s="35"/>
      <c r="C41" s="35"/>
      <c r="D41" s="35"/>
      <c r="E41" s="35"/>
      <c r="F41" s="35"/>
      <c r="G41" s="35"/>
      <c r="H41" s="35"/>
      <c r="I41" s="35"/>
    </row>
    <row r="42" spans="1:9" x14ac:dyDescent="0.25">
      <c r="A42" s="35"/>
      <c r="B42" s="35"/>
      <c r="C42" s="35"/>
      <c r="D42" s="35"/>
      <c r="E42" s="35"/>
      <c r="F42" s="35"/>
      <c r="G42" s="35"/>
      <c r="H42" s="35"/>
      <c r="I42" s="35"/>
    </row>
  </sheetData>
  <sortState ref="B5:I36">
    <sortCondition descending="1" ref="I5:I36"/>
  </sortState>
  <mergeCells count="6">
    <mergeCell ref="A1:I2"/>
    <mergeCell ref="A3:A4"/>
    <mergeCell ref="B3:B4"/>
    <mergeCell ref="D3:E3"/>
    <mergeCell ref="F3:H3"/>
    <mergeCell ref="I3:I4"/>
  </mergeCells>
  <pageMargins left="0.70866141732283472" right="0.70866141732283472" top="0.74803149606299213" bottom="0.74803149606299213" header="0.31496062992125984" footer="0.31496062992125984"/>
  <pageSetup paperSize="9" scale="91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0"/>
  <sheetViews>
    <sheetView zoomScale="60" zoomScaleNormal="60" workbookViewId="0">
      <selection activeCell="M16" sqref="M16"/>
    </sheetView>
  </sheetViews>
  <sheetFormatPr defaultRowHeight="15" x14ac:dyDescent="0.25"/>
  <cols>
    <col min="1" max="1" width="5.140625" customWidth="1"/>
    <col min="2" max="2" width="52.5703125" customWidth="1"/>
    <col min="3" max="3" width="7.7109375" customWidth="1"/>
  </cols>
  <sheetData>
    <row r="1" spans="1:9" x14ac:dyDescent="0.25">
      <c r="A1" s="347" t="s">
        <v>89</v>
      </c>
      <c r="B1" s="348"/>
      <c r="C1" s="348"/>
      <c r="D1" s="348"/>
      <c r="E1" s="348"/>
      <c r="F1" s="348"/>
      <c r="G1" s="348"/>
      <c r="H1" s="348"/>
      <c r="I1" s="349"/>
    </row>
    <row r="2" spans="1:9" ht="15.75" thickBot="1" x14ac:dyDescent="0.3">
      <c r="A2" s="350"/>
      <c r="B2" s="338"/>
      <c r="C2" s="338"/>
      <c r="D2" s="338"/>
      <c r="E2" s="338"/>
      <c r="F2" s="338"/>
      <c r="G2" s="338"/>
      <c r="H2" s="338"/>
      <c r="I2" s="351"/>
    </row>
    <row r="3" spans="1:9" ht="16.5" thickBot="1" x14ac:dyDescent="0.3">
      <c r="A3" s="339"/>
      <c r="B3" s="341" t="s">
        <v>0</v>
      </c>
      <c r="C3" s="1" t="s">
        <v>1</v>
      </c>
      <c r="D3" s="352" t="s">
        <v>63</v>
      </c>
      <c r="E3" s="353"/>
      <c r="F3" s="344" t="s">
        <v>2</v>
      </c>
      <c r="G3" s="344"/>
      <c r="H3" s="344"/>
      <c r="I3" s="345" t="s">
        <v>3</v>
      </c>
    </row>
    <row r="4" spans="1:9" ht="16.5" thickBot="1" x14ac:dyDescent="0.3">
      <c r="A4" s="340"/>
      <c r="B4" s="342"/>
      <c r="C4" s="49" t="s">
        <v>4</v>
      </c>
      <c r="D4" s="80">
        <v>1</v>
      </c>
      <c r="E4" s="81">
        <v>2</v>
      </c>
      <c r="F4" s="82">
        <v>0</v>
      </c>
      <c r="G4" s="83">
        <v>1</v>
      </c>
      <c r="H4" s="84">
        <v>2</v>
      </c>
      <c r="I4" s="346"/>
    </row>
    <row r="5" spans="1:9" ht="18" x14ac:dyDescent="0.25">
      <c r="A5" s="54">
        <v>1</v>
      </c>
      <c r="B5" s="43" t="s">
        <v>82</v>
      </c>
      <c r="C5" s="87">
        <v>9</v>
      </c>
      <c r="D5" s="105">
        <v>5</v>
      </c>
      <c r="E5" s="107">
        <v>10</v>
      </c>
      <c r="F5" s="109">
        <v>2.5</v>
      </c>
      <c r="G5" s="105">
        <f>13+3.5+2.5</f>
        <v>19</v>
      </c>
      <c r="H5" s="102">
        <f>10.5+0.7</f>
        <v>11.2</v>
      </c>
      <c r="I5" s="89">
        <f t="shared" ref="I5:I38" si="0">SUM(F5:H5)</f>
        <v>32.700000000000003</v>
      </c>
    </row>
    <row r="6" spans="1:9" ht="18" x14ac:dyDescent="0.25">
      <c r="A6" s="54">
        <v>2</v>
      </c>
      <c r="B6" s="71" t="s">
        <v>79</v>
      </c>
      <c r="C6" s="87" t="s">
        <v>5</v>
      </c>
      <c r="D6" s="91">
        <v>3</v>
      </c>
      <c r="E6" s="92">
        <v>2</v>
      </c>
      <c r="F6" s="87"/>
      <c r="G6" s="91">
        <f>15+0.7</f>
        <v>15.7</v>
      </c>
      <c r="H6" s="93">
        <f>16+0.7</f>
        <v>16.7</v>
      </c>
      <c r="I6" s="89">
        <f t="shared" si="0"/>
        <v>32.4</v>
      </c>
    </row>
    <row r="7" spans="1:9" ht="18" x14ac:dyDescent="0.25">
      <c r="A7" s="54">
        <v>3</v>
      </c>
      <c r="B7" s="43" t="s">
        <v>73</v>
      </c>
      <c r="C7" s="87" t="s">
        <v>5</v>
      </c>
      <c r="D7" s="91">
        <v>6</v>
      </c>
      <c r="E7" s="92">
        <v>6</v>
      </c>
      <c r="F7" s="87">
        <v>1.5</v>
      </c>
      <c r="G7" s="91">
        <f>12.5+1.4+2</f>
        <v>15.9</v>
      </c>
      <c r="H7" s="93">
        <f>12.5+2.8+1-2</f>
        <v>14.3</v>
      </c>
      <c r="I7" s="89">
        <f t="shared" si="0"/>
        <v>31.7</v>
      </c>
    </row>
    <row r="8" spans="1:9" ht="18" x14ac:dyDescent="0.25">
      <c r="A8" s="54">
        <v>4</v>
      </c>
      <c r="B8" s="70" t="s">
        <v>57</v>
      </c>
      <c r="C8" s="87"/>
      <c r="D8" s="94">
        <v>1</v>
      </c>
      <c r="E8" s="95">
        <v>9</v>
      </c>
      <c r="F8" s="90"/>
      <c r="G8" s="94">
        <f>17+0.7+1</f>
        <v>18.7</v>
      </c>
      <c r="H8" s="96">
        <f>11+0.5</f>
        <v>11.5</v>
      </c>
      <c r="I8" s="89">
        <f t="shared" si="0"/>
        <v>30.2</v>
      </c>
    </row>
    <row r="9" spans="1:9" ht="18" x14ac:dyDescent="0.25">
      <c r="A9" s="54">
        <v>5</v>
      </c>
      <c r="B9" s="43" t="s">
        <v>80</v>
      </c>
      <c r="C9" s="87" t="s">
        <v>5</v>
      </c>
      <c r="D9" s="94">
        <v>4</v>
      </c>
      <c r="E9" s="95">
        <v>7</v>
      </c>
      <c r="F9" s="90">
        <v>1</v>
      </c>
      <c r="G9" s="94">
        <f>14+2.1</f>
        <v>16.100000000000001</v>
      </c>
      <c r="H9" s="96">
        <f>12</f>
        <v>12</v>
      </c>
      <c r="I9" s="89">
        <f t="shared" si="0"/>
        <v>29.1</v>
      </c>
    </row>
    <row r="10" spans="1:9" ht="18" x14ac:dyDescent="0.25">
      <c r="A10" s="54">
        <v>6</v>
      </c>
      <c r="B10" s="70" t="s">
        <v>68</v>
      </c>
      <c r="C10" s="87" t="s">
        <v>5</v>
      </c>
      <c r="D10" s="91">
        <v>7</v>
      </c>
      <c r="E10" s="92">
        <v>4</v>
      </c>
      <c r="F10" s="87"/>
      <c r="G10" s="91">
        <v>12</v>
      </c>
      <c r="H10" s="93">
        <f>14</f>
        <v>14</v>
      </c>
      <c r="I10" s="89">
        <f t="shared" si="0"/>
        <v>26</v>
      </c>
    </row>
    <row r="11" spans="1:9" ht="18" x14ac:dyDescent="0.25">
      <c r="A11" s="54">
        <v>7</v>
      </c>
      <c r="B11" s="103" t="s">
        <v>83</v>
      </c>
      <c r="C11" s="90" t="s">
        <v>5</v>
      </c>
      <c r="D11" s="94">
        <v>9</v>
      </c>
      <c r="E11" s="95">
        <v>5</v>
      </c>
      <c r="F11" s="90">
        <v>2</v>
      </c>
      <c r="G11" s="94">
        <v>11</v>
      </c>
      <c r="H11" s="96">
        <f>13</f>
        <v>13</v>
      </c>
      <c r="I11" s="89">
        <f t="shared" si="0"/>
        <v>26</v>
      </c>
    </row>
    <row r="12" spans="1:9" ht="18" x14ac:dyDescent="0.25">
      <c r="A12" s="54">
        <v>8</v>
      </c>
      <c r="B12" s="70" t="s">
        <v>41</v>
      </c>
      <c r="C12" s="87" t="s">
        <v>5</v>
      </c>
      <c r="D12" s="91">
        <v>4</v>
      </c>
      <c r="E12" s="92">
        <v>1</v>
      </c>
      <c r="F12" s="97"/>
      <c r="G12" s="91">
        <f>8.5+1-1</f>
        <v>8.5</v>
      </c>
      <c r="H12" s="93">
        <f>17</f>
        <v>17</v>
      </c>
      <c r="I12" s="89">
        <f t="shared" si="0"/>
        <v>25.5</v>
      </c>
    </row>
    <row r="13" spans="1:9" ht="18" x14ac:dyDescent="0.25">
      <c r="A13" s="54">
        <v>9</v>
      </c>
      <c r="B13" s="43" t="s">
        <v>67</v>
      </c>
      <c r="C13" s="87">
        <v>4</v>
      </c>
      <c r="D13" s="91">
        <v>8</v>
      </c>
      <c r="E13" s="92">
        <v>8</v>
      </c>
      <c r="F13" s="87">
        <v>0.5</v>
      </c>
      <c r="G13" s="91">
        <v>11.5</v>
      </c>
      <c r="H13" s="93">
        <f>6+1+2.5</f>
        <v>9.5</v>
      </c>
      <c r="I13" s="89">
        <f t="shared" si="0"/>
        <v>21.5</v>
      </c>
    </row>
    <row r="14" spans="1:9" ht="18" x14ac:dyDescent="0.25">
      <c r="A14" s="54">
        <v>10</v>
      </c>
      <c r="B14" s="77" t="s">
        <v>70</v>
      </c>
      <c r="C14" s="87">
        <v>12</v>
      </c>
      <c r="D14" s="91">
        <v>6</v>
      </c>
      <c r="E14" s="92">
        <v>1</v>
      </c>
      <c r="F14" s="87"/>
      <c r="G14" s="91">
        <v>7</v>
      </c>
      <c r="H14" s="93">
        <f>11.5+1+2</f>
        <v>14.5</v>
      </c>
      <c r="I14" s="89">
        <f t="shared" si="0"/>
        <v>21.5</v>
      </c>
    </row>
    <row r="15" spans="1:9" ht="18" x14ac:dyDescent="0.25">
      <c r="A15" s="54">
        <v>11</v>
      </c>
      <c r="B15" s="43" t="s">
        <v>53</v>
      </c>
      <c r="C15" s="87" t="s">
        <v>5</v>
      </c>
      <c r="D15" s="91">
        <v>2</v>
      </c>
      <c r="E15" s="92">
        <v>6</v>
      </c>
      <c r="F15" s="87"/>
      <c r="G15" s="91">
        <v>16</v>
      </c>
      <c r="H15" s="93">
        <f>7+0.5-2</f>
        <v>5.5</v>
      </c>
      <c r="I15" s="89">
        <f t="shared" si="0"/>
        <v>21.5</v>
      </c>
    </row>
    <row r="16" spans="1:9" ht="18" x14ac:dyDescent="0.25">
      <c r="A16" s="54">
        <v>12</v>
      </c>
      <c r="B16" s="43" t="s">
        <v>87</v>
      </c>
      <c r="C16" s="87">
        <v>13</v>
      </c>
      <c r="D16" s="91">
        <v>2</v>
      </c>
      <c r="E16" s="92">
        <v>3</v>
      </c>
      <c r="F16" s="87"/>
      <c r="G16" s="91">
        <f>10.5+1.5</f>
        <v>12</v>
      </c>
      <c r="H16" s="93">
        <f>9.5+1.5-3+1.5</f>
        <v>9.5</v>
      </c>
      <c r="I16" s="89">
        <f t="shared" si="0"/>
        <v>21.5</v>
      </c>
    </row>
    <row r="17" spans="1:9" ht="18" x14ac:dyDescent="0.25">
      <c r="A17" s="54">
        <v>13</v>
      </c>
      <c r="B17" s="43" t="s">
        <v>69</v>
      </c>
      <c r="C17" s="90" t="s">
        <v>5</v>
      </c>
      <c r="D17" s="91">
        <v>10</v>
      </c>
      <c r="E17" s="92">
        <v>4</v>
      </c>
      <c r="F17" s="87"/>
      <c r="G17" s="91">
        <v>10.5</v>
      </c>
      <c r="H17" s="93">
        <f>8.5+2</f>
        <v>10.5</v>
      </c>
      <c r="I17" s="89">
        <f t="shared" si="0"/>
        <v>21</v>
      </c>
    </row>
    <row r="18" spans="1:9" ht="18" x14ac:dyDescent="0.25">
      <c r="A18" s="54">
        <v>14</v>
      </c>
      <c r="B18" s="43" t="s">
        <v>66</v>
      </c>
      <c r="C18" s="90">
        <v>5</v>
      </c>
      <c r="D18" s="91">
        <v>1</v>
      </c>
      <c r="E18" s="92">
        <v>7</v>
      </c>
      <c r="F18" s="87"/>
      <c r="G18" s="91">
        <f>11.5+1</f>
        <v>12.5</v>
      </c>
      <c r="H18" s="93">
        <f>6.5</f>
        <v>6.5</v>
      </c>
      <c r="I18" s="89">
        <f t="shared" si="0"/>
        <v>19</v>
      </c>
    </row>
    <row r="19" spans="1:9" ht="18" x14ac:dyDescent="0.25">
      <c r="A19" s="54">
        <v>15</v>
      </c>
      <c r="B19" s="43" t="s">
        <v>76</v>
      </c>
      <c r="C19" s="87" t="s">
        <v>5</v>
      </c>
      <c r="D19" s="91">
        <v>7</v>
      </c>
      <c r="E19" s="92">
        <v>11</v>
      </c>
      <c r="F19" s="87"/>
      <c r="G19" s="91">
        <f>6.5+1.5</f>
        <v>8</v>
      </c>
      <c r="H19" s="93">
        <f>10</f>
        <v>10</v>
      </c>
      <c r="I19" s="89">
        <f t="shared" si="0"/>
        <v>18</v>
      </c>
    </row>
    <row r="20" spans="1:9" ht="18" x14ac:dyDescent="0.25">
      <c r="A20" s="54">
        <v>16</v>
      </c>
      <c r="B20" s="73" t="s">
        <v>73</v>
      </c>
      <c r="C20" s="87">
        <v>6</v>
      </c>
      <c r="D20" s="91">
        <v>11</v>
      </c>
      <c r="E20" s="92">
        <v>8</v>
      </c>
      <c r="F20" s="87"/>
      <c r="G20" s="91">
        <f>4.5+0.5</f>
        <v>5</v>
      </c>
      <c r="H20" s="93">
        <f>11.5</f>
        <v>11.5</v>
      </c>
      <c r="I20" s="89">
        <f t="shared" si="0"/>
        <v>16.5</v>
      </c>
    </row>
    <row r="21" spans="1:9" ht="18" x14ac:dyDescent="0.25">
      <c r="A21" s="54">
        <v>17</v>
      </c>
      <c r="B21" s="69" t="s">
        <v>15</v>
      </c>
      <c r="C21" s="90">
        <v>5</v>
      </c>
      <c r="D21" s="91">
        <v>2</v>
      </c>
      <c r="E21" s="92">
        <v>2</v>
      </c>
      <c r="F21" s="87"/>
      <c r="G21" s="91">
        <f>5</f>
        <v>5</v>
      </c>
      <c r="H21" s="93">
        <f>10.5</f>
        <v>10.5</v>
      </c>
      <c r="I21" s="89">
        <f t="shared" si="0"/>
        <v>15.5</v>
      </c>
    </row>
    <row r="22" spans="1:9" ht="18" x14ac:dyDescent="0.25">
      <c r="A22" s="54">
        <v>18</v>
      </c>
      <c r="B22" s="72" t="s">
        <v>84</v>
      </c>
      <c r="C22" s="87">
        <v>21</v>
      </c>
      <c r="D22" s="91">
        <v>3</v>
      </c>
      <c r="E22" s="92">
        <v>9</v>
      </c>
      <c r="F22" s="87"/>
      <c r="G22" s="91">
        <f>9.5</f>
        <v>9.5</v>
      </c>
      <c r="H22" s="93">
        <f>5.5</f>
        <v>5.5</v>
      </c>
      <c r="I22" s="89">
        <f t="shared" si="0"/>
        <v>15</v>
      </c>
    </row>
    <row r="23" spans="1:9" ht="18" x14ac:dyDescent="0.25">
      <c r="A23" s="54">
        <v>19</v>
      </c>
      <c r="B23" s="70" t="s">
        <v>72</v>
      </c>
      <c r="C23" s="87">
        <v>9</v>
      </c>
      <c r="D23" s="91">
        <v>8</v>
      </c>
      <c r="E23" s="92">
        <v>10</v>
      </c>
      <c r="F23" s="87"/>
      <c r="G23" s="91">
        <f>6+1</f>
        <v>7</v>
      </c>
      <c r="H23" s="93">
        <f>5</f>
        <v>5</v>
      </c>
      <c r="I23" s="89">
        <f t="shared" si="0"/>
        <v>12</v>
      </c>
    </row>
    <row r="24" spans="1:9" ht="18" x14ac:dyDescent="0.25">
      <c r="A24" s="54">
        <v>20</v>
      </c>
      <c r="B24" s="69" t="s">
        <v>77</v>
      </c>
      <c r="C24" s="87" t="s">
        <v>5</v>
      </c>
      <c r="D24" s="91">
        <v>9</v>
      </c>
      <c r="E24" s="92">
        <v>5</v>
      </c>
      <c r="F24" s="87"/>
      <c r="G24" s="91">
        <f>5.5-1</f>
        <v>4.5</v>
      </c>
      <c r="H24" s="93">
        <f>7.5</f>
        <v>7.5</v>
      </c>
      <c r="I24" s="89">
        <f t="shared" si="0"/>
        <v>12</v>
      </c>
    </row>
    <row r="25" spans="1:9" ht="18" x14ac:dyDescent="0.25">
      <c r="A25" s="54">
        <v>21</v>
      </c>
      <c r="B25" s="43" t="s">
        <v>81</v>
      </c>
      <c r="C25" s="87">
        <v>18</v>
      </c>
      <c r="D25" s="94">
        <v>10</v>
      </c>
      <c r="E25" s="95">
        <v>1</v>
      </c>
      <c r="F25" s="90"/>
      <c r="G25" s="94">
        <v>5</v>
      </c>
      <c r="H25" s="96">
        <f>6+0.5</f>
        <v>6.5</v>
      </c>
      <c r="I25" s="89">
        <f t="shared" si="0"/>
        <v>11.5</v>
      </c>
    </row>
    <row r="26" spans="1:9" ht="18" x14ac:dyDescent="0.25">
      <c r="A26" s="54">
        <v>22</v>
      </c>
      <c r="B26" s="43" t="s">
        <v>65</v>
      </c>
      <c r="C26" s="87">
        <v>4</v>
      </c>
      <c r="D26" s="91">
        <v>1</v>
      </c>
      <c r="E26" s="92">
        <v>6</v>
      </c>
      <c r="F26" s="87"/>
      <c r="G26" s="91">
        <f>6</f>
        <v>6</v>
      </c>
      <c r="H26" s="93">
        <f>1.5+1</f>
        <v>2.5</v>
      </c>
      <c r="I26" s="89">
        <f t="shared" si="0"/>
        <v>8.5</v>
      </c>
    </row>
    <row r="27" spans="1:9" ht="18" x14ac:dyDescent="0.25">
      <c r="A27" s="54">
        <v>23</v>
      </c>
      <c r="B27" s="70" t="s">
        <v>85</v>
      </c>
      <c r="C27" s="87" t="s">
        <v>5</v>
      </c>
      <c r="D27" s="91">
        <v>4</v>
      </c>
      <c r="E27" s="92">
        <v>3</v>
      </c>
      <c r="F27" s="87"/>
      <c r="G27" s="91">
        <f>3+0.5</f>
        <v>3.5</v>
      </c>
      <c r="H27" s="93">
        <f>4+1</f>
        <v>5</v>
      </c>
      <c r="I27" s="89">
        <f t="shared" si="0"/>
        <v>8.5</v>
      </c>
    </row>
    <row r="28" spans="1:9" ht="18" x14ac:dyDescent="0.25">
      <c r="A28" s="54">
        <v>24</v>
      </c>
      <c r="B28" s="85" t="s">
        <v>78</v>
      </c>
      <c r="C28" s="90">
        <v>10</v>
      </c>
      <c r="D28" s="94">
        <v>10</v>
      </c>
      <c r="E28" s="95">
        <v>2</v>
      </c>
      <c r="F28" s="90"/>
      <c r="G28" s="94">
        <v>0</v>
      </c>
      <c r="H28" s="96">
        <f>5+3.5</f>
        <v>8.5</v>
      </c>
      <c r="I28" s="89">
        <f t="shared" si="0"/>
        <v>8.5</v>
      </c>
    </row>
    <row r="29" spans="1:9" ht="18" x14ac:dyDescent="0.25">
      <c r="A29" s="54">
        <v>25</v>
      </c>
      <c r="B29" s="103" t="s">
        <v>64</v>
      </c>
      <c r="C29" s="90" t="s">
        <v>5</v>
      </c>
      <c r="D29" s="91">
        <v>3</v>
      </c>
      <c r="E29" s="92">
        <v>8</v>
      </c>
      <c r="F29" s="87"/>
      <c r="G29" s="91">
        <f>4+1.5</f>
        <v>5.5</v>
      </c>
      <c r="H29" s="93">
        <f>0.5+1</f>
        <v>1.5</v>
      </c>
      <c r="I29" s="89">
        <f t="shared" si="0"/>
        <v>7</v>
      </c>
    </row>
    <row r="30" spans="1:9" ht="18" x14ac:dyDescent="0.25">
      <c r="A30" s="54">
        <v>26</v>
      </c>
      <c r="B30" s="85" t="s">
        <v>62</v>
      </c>
      <c r="C30" s="90">
        <v>4</v>
      </c>
      <c r="D30" s="91">
        <v>6</v>
      </c>
      <c r="E30" s="92">
        <v>4</v>
      </c>
      <c r="F30" s="87"/>
      <c r="G30" s="91">
        <f>1.5+1</f>
        <v>2.5</v>
      </c>
      <c r="H30" s="93">
        <f>3</f>
        <v>3</v>
      </c>
      <c r="I30" s="89">
        <f t="shared" si="0"/>
        <v>5.5</v>
      </c>
    </row>
    <row r="31" spans="1:9" ht="18" x14ac:dyDescent="0.25">
      <c r="A31" s="54">
        <v>27</v>
      </c>
      <c r="B31" s="71" t="s">
        <v>86</v>
      </c>
      <c r="C31" s="87">
        <v>10</v>
      </c>
      <c r="D31" s="91">
        <v>8</v>
      </c>
      <c r="E31" s="92">
        <v>5</v>
      </c>
      <c r="F31" s="87"/>
      <c r="G31" s="91">
        <f>0.5+1</f>
        <v>1.5</v>
      </c>
      <c r="H31" s="93">
        <f>2+1</f>
        <v>3</v>
      </c>
      <c r="I31" s="98">
        <f t="shared" si="0"/>
        <v>4.5</v>
      </c>
    </row>
    <row r="32" spans="1:9" ht="18" x14ac:dyDescent="0.25">
      <c r="A32" s="56">
        <v>28</v>
      </c>
      <c r="B32" s="43" t="s">
        <v>75</v>
      </c>
      <c r="C32" s="87" t="s">
        <v>5</v>
      </c>
      <c r="D32" s="91">
        <v>5</v>
      </c>
      <c r="E32" s="92">
        <v>7</v>
      </c>
      <c r="F32" s="87"/>
      <c r="G32" s="91">
        <f>2+1</f>
        <v>3</v>
      </c>
      <c r="H32" s="93">
        <f>1</f>
        <v>1</v>
      </c>
      <c r="I32" s="98">
        <f t="shared" si="0"/>
        <v>4</v>
      </c>
    </row>
    <row r="33" spans="1:9" ht="18" x14ac:dyDescent="0.25">
      <c r="A33" s="54">
        <v>29</v>
      </c>
      <c r="B33" s="43" t="s">
        <v>60</v>
      </c>
      <c r="C33" s="87" t="s">
        <v>5</v>
      </c>
      <c r="D33" s="91">
        <v>7</v>
      </c>
      <c r="E33" s="92">
        <v>10</v>
      </c>
      <c r="F33" s="87"/>
      <c r="G33" s="91">
        <f>1</f>
        <v>1</v>
      </c>
      <c r="H33" s="93">
        <v>0</v>
      </c>
      <c r="I33" s="98">
        <f t="shared" si="0"/>
        <v>1</v>
      </c>
    </row>
    <row r="34" spans="1:9" ht="18.75" thickBot="1" x14ac:dyDescent="0.3">
      <c r="A34" s="54">
        <v>29.9</v>
      </c>
      <c r="B34" s="74" t="s">
        <v>59</v>
      </c>
      <c r="C34" s="100">
        <v>13</v>
      </c>
      <c r="D34" s="106"/>
      <c r="E34" s="108"/>
      <c r="F34" s="99"/>
      <c r="G34" s="106"/>
      <c r="H34" s="110"/>
      <c r="I34" s="101">
        <f t="shared" si="0"/>
        <v>0</v>
      </c>
    </row>
    <row r="35" spans="1:9" ht="18" x14ac:dyDescent="0.25">
      <c r="A35" s="54">
        <v>31</v>
      </c>
      <c r="B35" s="76" t="s">
        <v>71</v>
      </c>
      <c r="C35" s="88">
        <v>11</v>
      </c>
      <c r="D35" s="88"/>
      <c r="E35" s="88"/>
      <c r="F35" s="88"/>
      <c r="G35" s="88"/>
      <c r="H35" s="88"/>
      <c r="I35" s="88">
        <f t="shared" si="0"/>
        <v>0</v>
      </c>
    </row>
    <row r="36" spans="1:9" ht="18" x14ac:dyDescent="0.25">
      <c r="A36" s="56">
        <v>32</v>
      </c>
      <c r="B36" s="79" t="s">
        <v>88</v>
      </c>
      <c r="C36" s="93" t="s">
        <v>5</v>
      </c>
      <c r="D36" s="93">
        <v>9</v>
      </c>
      <c r="E36" s="93">
        <v>9</v>
      </c>
      <c r="F36" s="93"/>
      <c r="G36" s="93">
        <v>0</v>
      </c>
      <c r="H36" s="93">
        <v>0</v>
      </c>
      <c r="I36" s="88">
        <f t="shared" si="0"/>
        <v>0</v>
      </c>
    </row>
    <row r="37" spans="1:9" ht="21" customHeight="1" x14ac:dyDescent="0.25">
      <c r="A37" s="54">
        <v>33</v>
      </c>
      <c r="B37" s="104" t="s">
        <v>58</v>
      </c>
      <c r="C37" s="93">
        <v>12</v>
      </c>
      <c r="D37" s="93"/>
      <c r="E37" s="93"/>
      <c r="F37" s="93"/>
      <c r="G37" s="93"/>
      <c r="H37" s="93"/>
      <c r="I37" s="88">
        <f t="shared" si="0"/>
        <v>0</v>
      </c>
    </row>
    <row r="38" spans="1:9" ht="18" x14ac:dyDescent="0.25">
      <c r="A38" s="54">
        <v>34</v>
      </c>
      <c r="B38" s="86" t="s">
        <v>61</v>
      </c>
      <c r="C38" s="96">
        <v>10</v>
      </c>
      <c r="D38" s="96"/>
      <c r="E38" s="96"/>
      <c r="F38" s="96"/>
      <c r="G38" s="96"/>
      <c r="H38" s="96"/>
      <c r="I38" s="88">
        <f t="shared" si="0"/>
        <v>0</v>
      </c>
    </row>
    <row r="39" spans="1:9" ht="18" x14ac:dyDescent="0.25">
      <c r="A39" s="75">
        <v>35</v>
      </c>
      <c r="B39" s="78"/>
      <c r="C39" s="93"/>
      <c r="D39" s="93"/>
      <c r="E39" s="93"/>
      <c r="F39" s="93"/>
      <c r="G39" s="93"/>
      <c r="H39" s="93"/>
      <c r="I39" s="88"/>
    </row>
    <row r="40" spans="1:9" x14ac:dyDescent="0.25">
      <c r="A40" s="35"/>
      <c r="B40" s="35"/>
      <c r="C40" s="35"/>
      <c r="D40" s="35"/>
      <c r="E40" s="35"/>
      <c r="F40" s="35"/>
      <c r="G40" s="35"/>
      <c r="H40" s="35"/>
      <c r="I40" s="35"/>
    </row>
  </sheetData>
  <sortState ref="B5:I39">
    <sortCondition descending="1" ref="I5:I39"/>
  </sortState>
  <mergeCells count="6">
    <mergeCell ref="A1:I2"/>
    <mergeCell ref="A3:A4"/>
    <mergeCell ref="B3:B4"/>
    <mergeCell ref="D3:E3"/>
    <mergeCell ref="F3:H3"/>
    <mergeCell ref="I3:I4"/>
  </mergeCells>
  <pageMargins left="0.70866141732283472" right="0.70866141732283472" top="0.74803149606299213" bottom="0.74803149606299213" header="0.31496062992125984" footer="0.31496062992125984"/>
  <pageSetup paperSize="9" scale="72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0"/>
  <sheetViews>
    <sheetView zoomScale="50" zoomScaleNormal="50" workbookViewId="0">
      <selection activeCell="B11" sqref="B11"/>
    </sheetView>
  </sheetViews>
  <sheetFormatPr defaultRowHeight="15" x14ac:dyDescent="0.25"/>
  <cols>
    <col min="1" max="1" width="5.140625" customWidth="1"/>
    <col min="2" max="2" width="52.5703125" customWidth="1"/>
    <col min="3" max="3" width="7.7109375" customWidth="1"/>
  </cols>
  <sheetData>
    <row r="1" spans="1:9" x14ac:dyDescent="0.25">
      <c r="A1" s="347" t="s">
        <v>90</v>
      </c>
      <c r="B1" s="348"/>
      <c r="C1" s="348"/>
      <c r="D1" s="348"/>
      <c r="E1" s="348"/>
      <c r="F1" s="348"/>
      <c r="G1" s="348"/>
      <c r="H1" s="348"/>
      <c r="I1" s="349"/>
    </row>
    <row r="2" spans="1:9" ht="15.75" thickBot="1" x14ac:dyDescent="0.3">
      <c r="A2" s="350"/>
      <c r="B2" s="338"/>
      <c r="C2" s="338"/>
      <c r="D2" s="338"/>
      <c r="E2" s="338"/>
      <c r="F2" s="338"/>
      <c r="G2" s="338"/>
      <c r="H2" s="338"/>
      <c r="I2" s="351"/>
    </row>
    <row r="3" spans="1:9" ht="16.5" thickBot="1" x14ac:dyDescent="0.3">
      <c r="A3" s="339"/>
      <c r="B3" s="341" t="s">
        <v>0</v>
      </c>
      <c r="C3" s="1" t="s">
        <v>1</v>
      </c>
      <c r="D3" s="352" t="s">
        <v>63</v>
      </c>
      <c r="E3" s="353"/>
      <c r="F3" s="344" t="s">
        <v>2</v>
      </c>
      <c r="G3" s="344"/>
      <c r="H3" s="344"/>
      <c r="I3" s="345" t="s">
        <v>3</v>
      </c>
    </row>
    <row r="4" spans="1:9" ht="16.5" thickBot="1" x14ac:dyDescent="0.3">
      <c r="A4" s="340"/>
      <c r="B4" s="342"/>
      <c r="C4" s="49" t="s">
        <v>4</v>
      </c>
      <c r="D4" s="80">
        <v>1</v>
      </c>
      <c r="E4" s="81">
        <v>2</v>
      </c>
      <c r="F4" s="82">
        <v>0</v>
      </c>
      <c r="G4" s="83">
        <v>1</v>
      </c>
      <c r="H4" s="84">
        <v>2</v>
      </c>
      <c r="I4" s="346"/>
    </row>
    <row r="5" spans="1:9" ht="18" x14ac:dyDescent="0.25">
      <c r="A5" s="54">
        <v>1</v>
      </c>
      <c r="B5" s="43" t="s">
        <v>82</v>
      </c>
      <c r="C5" s="87">
        <v>10</v>
      </c>
      <c r="D5" s="91">
        <v>3</v>
      </c>
      <c r="E5" s="92">
        <v>7</v>
      </c>
      <c r="F5" s="87">
        <v>2</v>
      </c>
      <c r="G5" s="91">
        <f>13+3.5+2.5</f>
        <v>19</v>
      </c>
      <c r="H5" s="93">
        <f>12+2.8+0.5</f>
        <v>15.3</v>
      </c>
      <c r="I5" s="89">
        <f t="shared" ref="I5:I37" si="0">SUM(F5:H5)</f>
        <v>36.299999999999997</v>
      </c>
    </row>
    <row r="6" spans="1:9" ht="18" x14ac:dyDescent="0.25">
      <c r="A6" s="54">
        <v>2</v>
      </c>
      <c r="B6" s="43" t="s">
        <v>73</v>
      </c>
      <c r="C6" s="87"/>
      <c r="D6" s="91">
        <v>4</v>
      </c>
      <c r="E6" s="92">
        <v>6</v>
      </c>
      <c r="F6" s="87">
        <v>1</v>
      </c>
      <c r="G6" s="91">
        <f>14+2.8-2+1.5</f>
        <v>16.3</v>
      </c>
      <c r="H6" s="93">
        <f>12.5+2.1</f>
        <v>14.6</v>
      </c>
      <c r="I6" s="89">
        <f t="shared" si="0"/>
        <v>31.9</v>
      </c>
    </row>
    <row r="7" spans="1:9" ht="18" x14ac:dyDescent="0.25">
      <c r="A7" s="54">
        <v>3</v>
      </c>
      <c r="B7" s="103" t="s">
        <v>83</v>
      </c>
      <c r="C7" s="90" t="s">
        <v>5</v>
      </c>
      <c r="D7" s="91">
        <v>8</v>
      </c>
      <c r="E7" s="92">
        <v>10</v>
      </c>
      <c r="F7" s="87">
        <v>2.5</v>
      </c>
      <c r="G7" s="91">
        <f>11.5+2.1+2</f>
        <v>15.6</v>
      </c>
      <c r="H7" s="93">
        <f>10.5+2</f>
        <v>12.5</v>
      </c>
      <c r="I7" s="89">
        <f t="shared" si="0"/>
        <v>30.6</v>
      </c>
    </row>
    <row r="8" spans="1:9" ht="18" x14ac:dyDescent="0.25">
      <c r="A8" s="54">
        <v>4</v>
      </c>
      <c r="B8" s="43" t="s">
        <v>80</v>
      </c>
      <c r="C8" s="90" t="s">
        <v>5</v>
      </c>
      <c r="D8" s="91">
        <v>3</v>
      </c>
      <c r="E8" s="92">
        <v>5</v>
      </c>
      <c r="F8" s="87"/>
      <c r="G8" s="91">
        <f>15+0.5</f>
        <v>15.5</v>
      </c>
      <c r="H8" s="93">
        <f>13+1.4</f>
        <v>14.4</v>
      </c>
      <c r="I8" s="89">
        <f t="shared" si="0"/>
        <v>29.9</v>
      </c>
    </row>
    <row r="9" spans="1:9" ht="18" x14ac:dyDescent="0.25">
      <c r="A9" s="54">
        <v>5</v>
      </c>
      <c r="B9" s="43" t="s">
        <v>101</v>
      </c>
      <c r="C9" s="87" t="s">
        <v>5</v>
      </c>
      <c r="D9" s="91">
        <v>1</v>
      </c>
      <c r="E9" s="92">
        <v>4</v>
      </c>
      <c r="F9" s="87"/>
      <c r="G9" s="91">
        <f>11.5+3.5</f>
        <v>15</v>
      </c>
      <c r="H9" s="93">
        <f>14</f>
        <v>14</v>
      </c>
      <c r="I9" s="89">
        <f t="shared" si="0"/>
        <v>29</v>
      </c>
    </row>
    <row r="10" spans="1:9" ht="18" x14ac:dyDescent="0.25">
      <c r="A10" s="54">
        <v>6</v>
      </c>
      <c r="B10" s="111" t="s">
        <v>79</v>
      </c>
      <c r="C10" s="90" t="s">
        <v>5</v>
      </c>
      <c r="D10" s="94">
        <v>6</v>
      </c>
      <c r="E10" s="95">
        <v>3</v>
      </c>
      <c r="F10" s="90">
        <v>0.5</v>
      </c>
      <c r="G10" s="94">
        <f>12.5+0.7</f>
        <v>13.2</v>
      </c>
      <c r="H10" s="96">
        <f>15</f>
        <v>15</v>
      </c>
      <c r="I10" s="89">
        <f t="shared" si="0"/>
        <v>28.7</v>
      </c>
    </row>
    <row r="11" spans="1:9" ht="18" x14ac:dyDescent="0.25">
      <c r="A11" s="54">
        <v>7</v>
      </c>
      <c r="B11" s="73" t="s">
        <v>74</v>
      </c>
      <c r="C11" s="87">
        <v>6</v>
      </c>
      <c r="D11" s="91">
        <v>10</v>
      </c>
      <c r="E11" s="92">
        <v>1</v>
      </c>
      <c r="F11" s="87"/>
      <c r="G11" s="91">
        <v>10.5</v>
      </c>
      <c r="H11" s="93">
        <f>17</f>
        <v>17</v>
      </c>
      <c r="I11" s="89">
        <f t="shared" si="0"/>
        <v>27.5</v>
      </c>
    </row>
    <row r="12" spans="1:9" ht="18" x14ac:dyDescent="0.25">
      <c r="A12" s="54">
        <v>8</v>
      </c>
      <c r="B12" s="77" t="s">
        <v>70</v>
      </c>
      <c r="C12" s="87">
        <v>12</v>
      </c>
      <c r="D12" s="91">
        <v>2</v>
      </c>
      <c r="E12" s="92">
        <v>5</v>
      </c>
      <c r="F12" s="87"/>
      <c r="G12" s="91">
        <f>16</f>
        <v>16</v>
      </c>
      <c r="H12" s="93">
        <f>7.5+2.5</f>
        <v>10</v>
      </c>
      <c r="I12" s="89">
        <f t="shared" si="0"/>
        <v>26</v>
      </c>
    </row>
    <row r="13" spans="1:9" ht="18" x14ac:dyDescent="0.25">
      <c r="A13" s="54">
        <v>9</v>
      </c>
      <c r="B13" s="70" t="s">
        <v>68</v>
      </c>
      <c r="C13" s="87" t="s">
        <v>5</v>
      </c>
      <c r="D13" s="91">
        <v>7</v>
      </c>
      <c r="E13" s="92">
        <v>8</v>
      </c>
      <c r="F13" s="87"/>
      <c r="G13" s="91">
        <f>12-3</f>
        <v>9</v>
      </c>
      <c r="H13" s="93">
        <f>11.5</f>
        <v>11.5</v>
      </c>
      <c r="I13" s="89">
        <f t="shared" si="0"/>
        <v>20.5</v>
      </c>
    </row>
    <row r="14" spans="1:9" ht="18" x14ac:dyDescent="0.25">
      <c r="A14" s="54">
        <v>10</v>
      </c>
      <c r="B14" s="103" t="s">
        <v>64</v>
      </c>
      <c r="C14" s="90" t="s">
        <v>5</v>
      </c>
      <c r="D14" s="91">
        <v>2</v>
      </c>
      <c r="E14" s="92">
        <v>3</v>
      </c>
      <c r="F14" s="87"/>
      <c r="G14" s="91">
        <f>10.5+1</f>
        <v>11.5</v>
      </c>
      <c r="H14" s="93">
        <f>9.5+1-2</f>
        <v>8.5</v>
      </c>
      <c r="I14" s="89">
        <f t="shared" si="0"/>
        <v>20</v>
      </c>
    </row>
    <row r="15" spans="1:9" ht="18" x14ac:dyDescent="0.25">
      <c r="A15" s="54">
        <v>11</v>
      </c>
      <c r="B15" s="73" t="s">
        <v>97</v>
      </c>
      <c r="C15" s="87" t="s">
        <v>5</v>
      </c>
      <c r="D15" s="94">
        <v>11</v>
      </c>
      <c r="E15" s="95">
        <v>11</v>
      </c>
      <c r="F15" s="90"/>
      <c r="G15" s="94">
        <f>10-3+1</f>
        <v>8</v>
      </c>
      <c r="H15" s="96">
        <f>10+1</f>
        <v>11</v>
      </c>
      <c r="I15" s="89">
        <f t="shared" si="0"/>
        <v>19</v>
      </c>
    </row>
    <row r="16" spans="1:9" ht="18" x14ac:dyDescent="0.25">
      <c r="A16" s="54">
        <v>12</v>
      </c>
      <c r="B16" s="43" t="s">
        <v>92</v>
      </c>
      <c r="C16" s="87" t="s">
        <v>5</v>
      </c>
      <c r="D16" s="91">
        <v>1</v>
      </c>
      <c r="E16" s="92">
        <v>2</v>
      </c>
      <c r="F16" s="87"/>
      <c r="G16" s="91">
        <f>6+0.5</f>
        <v>6.5</v>
      </c>
      <c r="H16" s="93">
        <f>10.5+2</f>
        <v>12.5</v>
      </c>
      <c r="I16" s="89">
        <f t="shared" si="0"/>
        <v>19</v>
      </c>
    </row>
    <row r="17" spans="1:9" ht="18" x14ac:dyDescent="0.25">
      <c r="A17" s="54">
        <v>13</v>
      </c>
      <c r="B17" s="70" t="s">
        <v>72</v>
      </c>
      <c r="C17" s="87">
        <v>9</v>
      </c>
      <c r="D17" s="91">
        <v>7</v>
      </c>
      <c r="E17" s="92">
        <v>1</v>
      </c>
      <c r="F17" s="87"/>
      <c r="G17" s="91">
        <f>6.5+1.5-3-2</f>
        <v>3</v>
      </c>
      <c r="H17" s="93">
        <f>11.5+4</f>
        <v>15.5</v>
      </c>
      <c r="I17" s="89">
        <f t="shared" si="0"/>
        <v>18.5</v>
      </c>
    </row>
    <row r="18" spans="1:9" ht="18" x14ac:dyDescent="0.25">
      <c r="A18" s="54">
        <v>14</v>
      </c>
      <c r="B18" s="43" t="s">
        <v>76</v>
      </c>
      <c r="C18" s="87" t="s">
        <v>5</v>
      </c>
      <c r="D18" s="91">
        <v>9</v>
      </c>
      <c r="E18" s="92">
        <v>9</v>
      </c>
      <c r="F18" s="87">
        <v>1.5</v>
      </c>
      <c r="G18" s="91">
        <f>11-2-2-3</f>
        <v>4</v>
      </c>
      <c r="H18" s="93">
        <f>11+1.5</f>
        <v>12.5</v>
      </c>
      <c r="I18" s="89">
        <f t="shared" si="0"/>
        <v>18</v>
      </c>
    </row>
    <row r="19" spans="1:9" ht="18" x14ac:dyDescent="0.25">
      <c r="A19" s="54">
        <v>15</v>
      </c>
      <c r="B19" s="43" t="s">
        <v>96</v>
      </c>
      <c r="C19" s="87" t="s">
        <v>5</v>
      </c>
      <c r="D19" s="91">
        <v>3</v>
      </c>
      <c r="E19" s="92">
        <v>3</v>
      </c>
      <c r="F19" s="87"/>
      <c r="G19" s="91">
        <f>4+1.5</f>
        <v>5.5</v>
      </c>
      <c r="H19" s="93">
        <f>9.5+3-2</f>
        <v>10.5</v>
      </c>
      <c r="I19" s="89">
        <f t="shared" si="0"/>
        <v>16</v>
      </c>
    </row>
    <row r="20" spans="1:9" ht="18" x14ac:dyDescent="0.25">
      <c r="A20" s="54">
        <v>16</v>
      </c>
      <c r="B20" s="70" t="s">
        <v>84</v>
      </c>
      <c r="C20" s="87">
        <v>22</v>
      </c>
      <c r="D20" s="94">
        <v>3</v>
      </c>
      <c r="E20" s="95">
        <v>9</v>
      </c>
      <c r="F20" s="90"/>
      <c r="G20" s="94">
        <f>9.5</f>
        <v>9.5</v>
      </c>
      <c r="H20" s="96">
        <v>5.5</v>
      </c>
      <c r="I20" s="89">
        <f t="shared" si="0"/>
        <v>15</v>
      </c>
    </row>
    <row r="21" spans="1:9" ht="18" x14ac:dyDescent="0.25">
      <c r="A21" s="54">
        <v>17</v>
      </c>
      <c r="B21" s="43" t="s">
        <v>15</v>
      </c>
      <c r="C21" s="87">
        <v>5</v>
      </c>
      <c r="D21" s="91">
        <v>6</v>
      </c>
      <c r="E21" s="92">
        <v>6</v>
      </c>
      <c r="F21" s="87"/>
      <c r="G21" s="91">
        <v>7</v>
      </c>
      <c r="H21" s="93">
        <v>7.5</v>
      </c>
      <c r="I21" s="89">
        <f t="shared" si="0"/>
        <v>14.5</v>
      </c>
    </row>
    <row r="22" spans="1:9" ht="18" x14ac:dyDescent="0.25">
      <c r="A22" s="54">
        <v>18</v>
      </c>
      <c r="B22" s="43" t="s">
        <v>100</v>
      </c>
      <c r="C22" s="87"/>
      <c r="D22" s="94">
        <v>8</v>
      </c>
      <c r="E22" s="95">
        <v>1</v>
      </c>
      <c r="F22" s="90"/>
      <c r="G22" s="94">
        <v>0.5</v>
      </c>
      <c r="H22" s="96">
        <f>11.5+1.5</f>
        <v>13</v>
      </c>
      <c r="I22" s="89">
        <f t="shared" si="0"/>
        <v>13.5</v>
      </c>
    </row>
    <row r="23" spans="1:9" ht="18" x14ac:dyDescent="0.25">
      <c r="A23" s="54">
        <v>19</v>
      </c>
      <c r="B23" s="112" t="s">
        <v>107</v>
      </c>
      <c r="C23" s="87"/>
      <c r="D23" s="94">
        <v>6</v>
      </c>
      <c r="E23" s="95">
        <v>4</v>
      </c>
      <c r="F23" s="90"/>
      <c r="G23" s="94">
        <f>1.5+2</f>
        <v>3.5</v>
      </c>
      <c r="H23" s="96">
        <f>8.5+3-2</f>
        <v>9.5</v>
      </c>
      <c r="I23" s="89">
        <f t="shared" si="0"/>
        <v>13</v>
      </c>
    </row>
    <row r="24" spans="1:9" ht="18" x14ac:dyDescent="0.25">
      <c r="A24" s="54">
        <v>20</v>
      </c>
      <c r="B24" s="43" t="s">
        <v>39</v>
      </c>
      <c r="C24" s="87"/>
      <c r="D24" s="91">
        <v>7</v>
      </c>
      <c r="E24" s="92">
        <v>2</v>
      </c>
      <c r="F24" s="87"/>
      <c r="G24" s="91">
        <f>1+1</f>
        <v>2</v>
      </c>
      <c r="H24" s="93">
        <f>10.5</f>
        <v>10.5</v>
      </c>
      <c r="I24" s="89">
        <f t="shared" si="0"/>
        <v>12.5</v>
      </c>
    </row>
    <row r="25" spans="1:9" ht="18" x14ac:dyDescent="0.25">
      <c r="A25" s="54">
        <v>21</v>
      </c>
      <c r="B25" s="43" t="s">
        <v>98</v>
      </c>
      <c r="C25" s="87">
        <v>5</v>
      </c>
      <c r="D25" s="91">
        <v>5</v>
      </c>
      <c r="E25" s="92">
        <v>7</v>
      </c>
      <c r="F25" s="87"/>
      <c r="G25" s="91">
        <f>7.5+0.5-3</f>
        <v>5</v>
      </c>
      <c r="H25" s="93">
        <v>6.5</v>
      </c>
      <c r="I25" s="89">
        <f t="shared" si="0"/>
        <v>11.5</v>
      </c>
    </row>
    <row r="26" spans="1:9" ht="18" x14ac:dyDescent="0.25">
      <c r="A26" s="54">
        <v>22</v>
      </c>
      <c r="B26" s="103" t="s">
        <v>99</v>
      </c>
      <c r="C26" s="90">
        <v>12</v>
      </c>
      <c r="D26" s="91">
        <v>9</v>
      </c>
      <c r="E26" s="92">
        <v>10</v>
      </c>
      <c r="F26" s="87"/>
      <c r="G26" s="91">
        <f>5.5</f>
        <v>5.5</v>
      </c>
      <c r="H26" s="93">
        <v>5.5</v>
      </c>
      <c r="I26" s="89">
        <f t="shared" si="0"/>
        <v>11</v>
      </c>
    </row>
    <row r="27" spans="1:9" ht="18" x14ac:dyDescent="0.25">
      <c r="A27" s="54">
        <v>23</v>
      </c>
      <c r="B27" s="43" t="s">
        <v>62</v>
      </c>
      <c r="C27" s="87">
        <v>4</v>
      </c>
      <c r="D27" s="91">
        <v>4</v>
      </c>
      <c r="E27" s="92">
        <v>6</v>
      </c>
      <c r="F27" s="87"/>
      <c r="G27" s="91">
        <f>8.5+0.5-3</f>
        <v>6</v>
      </c>
      <c r="H27" s="93">
        <f>7+1-3</f>
        <v>5</v>
      </c>
      <c r="I27" s="89">
        <f t="shared" si="0"/>
        <v>11</v>
      </c>
    </row>
    <row r="28" spans="1:9" ht="18" x14ac:dyDescent="0.25">
      <c r="A28" s="54">
        <v>24</v>
      </c>
      <c r="B28" s="43" t="s">
        <v>102</v>
      </c>
      <c r="C28" s="87" t="s">
        <v>5</v>
      </c>
      <c r="D28" s="94">
        <v>4</v>
      </c>
      <c r="E28" s="95">
        <v>7</v>
      </c>
      <c r="F28" s="90"/>
      <c r="G28" s="94">
        <f>3+2</f>
        <v>5</v>
      </c>
      <c r="H28" s="96">
        <f>7+0.5-2</f>
        <v>5.5</v>
      </c>
      <c r="I28" s="89">
        <f t="shared" si="0"/>
        <v>10.5</v>
      </c>
    </row>
    <row r="29" spans="1:9" ht="18" x14ac:dyDescent="0.25">
      <c r="A29" s="54">
        <v>25</v>
      </c>
      <c r="B29" s="85" t="s">
        <v>94</v>
      </c>
      <c r="C29" s="90">
        <v>4</v>
      </c>
      <c r="D29" s="91">
        <v>8</v>
      </c>
      <c r="E29" s="92">
        <v>8</v>
      </c>
      <c r="F29" s="87"/>
      <c r="G29" s="91">
        <f>6-3</f>
        <v>3</v>
      </c>
      <c r="H29" s="93">
        <v>6</v>
      </c>
      <c r="I29" s="89">
        <f t="shared" si="0"/>
        <v>9</v>
      </c>
    </row>
    <row r="30" spans="1:9" ht="18" x14ac:dyDescent="0.25">
      <c r="A30" s="54">
        <v>26</v>
      </c>
      <c r="B30" s="70" t="s">
        <v>105</v>
      </c>
      <c r="C30" s="87" t="s">
        <v>5</v>
      </c>
      <c r="D30" s="91">
        <v>5</v>
      </c>
      <c r="E30" s="92">
        <v>9</v>
      </c>
      <c r="F30" s="87"/>
      <c r="G30" s="91">
        <f>2</f>
        <v>2</v>
      </c>
      <c r="H30" s="93">
        <v>6</v>
      </c>
      <c r="I30" s="98">
        <f t="shared" si="0"/>
        <v>8</v>
      </c>
    </row>
    <row r="31" spans="1:9" ht="18" x14ac:dyDescent="0.25">
      <c r="A31" s="54">
        <v>27</v>
      </c>
      <c r="B31" s="71" t="s">
        <v>106</v>
      </c>
      <c r="C31" s="87">
        <v>19</v>
      </c>
      <c r="D31" s="91">
        <v>10</v>
      </c>
      <c r="E31" s="92">
        <v>5</v>
      </c>
      <c r="F31" s="97"/>
      <c r="G31" s="91">
        <v>0</v>
      </c>
      <c r="H31" s="93">
        <v>8</v>
      </c>
      <c r="I31" s="98">
        <f t="shared" si="0"/>
        <v>8</v>
      </c>
    </row>
    <row r="32" spans="1:9" ht="18" x14ac:dyDescent="0.25">
      <c r="A32" s="56">
        <v>28</v>
      </c>
      <c r="B32" s="43" t="s">
        <v>103</v>
      </c>
      <c r="C32" s="90" t="s">
        <v>5</v>
      </c>
      <c r="D32" s="94">
        <v>2</v>
      </c>
      <c r="E32" s="95">
        <v>10</v>
      </c>
      <c r="F32" s="90"/>
      <c r="G32" s="94">
        <f>5+0.5</f>
        <v>5.5</v>
      </c>
      <c r="H32" s="96">
        <f>5-3</f>
        <v>2</v>
      </c>
      <c r="I32" s="98">
        <f t="shared" si="0"/>
        <v>7.5</v>
      </c>
    </row>
    <row r="33" spans="1:9" ht="18.75" thickBot="1" x14ac:dyDescent="0.3">
      <c r="A33" s="54">
        <v>29</v>
      </c>
      <c r="B33" s="113" t="s">
        <v>104</v>
      </c>
      <c r="C33" s="100"/>
      <c r="D33" s="115">
        <v>9</v>
      </c>
      <c r="E33" s="116">
        <v>8</v>
      </c>
      <c r="F33" s="100"/>
      <c r="G33" s="115">
        <v>0</v>
      </c>
      <c r="H33" s="117">
        <f>6.5-2</f>
        <v>4.5</v>
      </c>
      <c r="I33" s="101">
        <f t="shared" si="0"/>
        <v>4.5</v>
      </c>
    </row>
    <row r="34" spans="1:9" ht="18" x14ac:dyDescent="0.25">
      <c r="A34" s="54">
        <v>29.9</v>
      </c>
      <c r="B34" s="114" t="s">
        <v>93</v>
      </c>
      <c r="C34" s="88">
        <v>7</v>
      </c>
      <c r="D34" s="88">
        <v>10</v>
      </c>
      <c r="E34" s="88">
        <v>4</v>
      </c>
      <c r="F34" s="88"/>
      <c r="G34" s="88">
        <f>5-3-3</f>
        <v>-1</v>
      </c>
      <c r="H34" s="88">
        <f>8.5+1-3-3</f>
        <v>3.5</v>
      </c>
      <c r="I34" s="88">
        <f t="shared" si="0"/>
        <v>2.5</v>
      </c>
    </row>
    <row r="35" spans="1:9" ht="18" x14ac:dyDescent="0.25">
      <c r="A35" s="54">
        <v>31</v>
      </c>
      <c r="B35" s="104" t="s">
        <v>91</v>
      </c>
      <c r="C35" s="93">
        <v>3</v>
      </c>
      <c r="D35" s="93"/>
      <c r="E35" s="93"/>
      <c r="F35" s="93"/>
      <c r="G35" s="93"/>
      <c r="H35" s="93"/>
      <c r="I35" s="88">
        <f t="shared" si="0"/>
        <v>0</v>
      </c>
    </row>
    <row r="36" spans="1:9" ht="18" x14ac:dyDescent="0.25">
      <c r="A36" s="56">
        <v>32</v>
      </c>
      <c r="B36" s="78" t="s">
        <v>88</v>
      </c>
      <c r="C36" s="93" t="s">
        <v>5</v>
      </c>
      <c r="D36" s="96"/>
      <c r="E36" s="96"/>
      <c r="F36" s="96"/>
      <c r="G36" s="96"/>
      <c r="H36" s="96"/>
      <c r="I36" s="88">
        <f t="shared" si="0"/>
        <v>0</v>
      </c>
    </row>
    <row r="37" spans="1:9" ht="21" customHeight="1" x14ac:dyDescent="0.25">
      <c r="A37" s="54">
        <v>33</v>
      </c>
      <c r="B37" s="70" t="s">
        <v>95</v>
      </c>
      <c r="C37" s="93">
        <v>9</v>
      </c>
      <c r="D37" s="93"/>
      <c r="E37" s="93"/>
      <c r="F37" s="93"/>
      <c r="G37" s="93"/>
      <c r="H37" s="93"/>
      <c r="I37" s="88">
        <f t="shared" si="0"/>
        <v>0</v>
      </c>
    </row>
    <row r="38" spans="1:9" ht="18" hidden="1" x14ac:dyDescent="0.25">
      <c r="A38" s="54">
        <v>34</v>
      </c>
    </row>
    <row r="39" spans="1:9" ht="18" hidden="1" x14ac:dyDescent="0.25">
      <c r="A39" s="75">
        <v>35</v>
      </c>
      <c r="B39" s="78"/>
      <c r="C39" s="93"/>
      <c r="D39" s="93"/>
      <c r="E39" s="93"/>
      <c r="F39" s="93"/>
      <c r="G39" s="93"/>
      <c r="H39" s="93"/>
      <c r="I39" s="88"/>
    </row>
    <row r="40" spans="1:9" hidden="1" x14ac:dyDescent="0.25">
      <c r="A40" s="35"/>
      <c r="B40" s="35"/>
      <c r="C40" s="35"/>
      <c r="D40" s="35"/>
      <c r="E40" s="35"/>
      <c r="F40" s="35"/>
      <c r="G40" s="35"/>
      <c r="H40" s="35"/>
      <c r="I40" s="35"/>
    </row>
  </sheetData>
  <sortState ref="B5:I38">
    <sortCondition descending="1" ref="I5:I38"/>
  </sortState>
  <mergeCells count="6">
    <mergeCell ref="A1:I2"/>
    <mergeCell ref="A3:A4"/>
    <mergeCell ref="B3:B4"/>
    <mergeCell ref="D3:E3"/>
    <mergeCell ref="F3:H3"/>
    <mergeCell ref="I3:I4"/>
  </mergeCells>
  <pageMargins left="0.70866141732283472" right="0.70866141732283472" top="0.74803149606299213" bottom="0.74803149606299213" header="0.31496062992125984" footer="0.31496062992125984"/>
  <pageSetup paperSize="9" scale="72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0"/>
  <sheetViews>
    <sheetView topLeftCell="A4" zoomScale="60" zoomScaleNormal="60" workbookViewId="0">
      <selection activeCell="B31" sqref="B31"/>
    </sheetView>
  </sheetViews>
  <sheetFormatPr defaultRowHeight="15" x14ac:dyDescent="0.25"/>
  <cols>
    <col min="1" max="1" width="5.140625" customWidth="1"/>
    <col min="2" max="2" width="52.5703125" customWidth="1"/>
    <col min="3" max="3" width="7.7109375" customWidth="1"/>
  </cols>
  <sheetData>
    <row r="1" spans="1:9" x14ac:dyDescent="0.25">
      <c r="A1" s="347" t="s">
        <v>108</v>
      </c>
      <c r="B1" s="348"/>
      <c r="C1" s="348"/>
      <c r="D1" s="348"/>
      <c r="E1" s="348"/>
      <c r="F1" s="348"/>
      <c r="G1" s="348"/>
      <c r="H1" s="348"/>
      <c r="I1" s="349"/>
    </row>
    <row r="2" spans="1:9" ht="15.75" thickBot="1" x14ac:dyDescent="0.3">
      <c r="A2" s="350"/>
      <c r="B2" s="338"/>
      <c r="C2" s="338"/>
      <c r="D2" s="338"/>
      <c r="E2" s="338"/>
      <c r="F2" s="338"/>
      <c r="G2" s="338"/>
      <c r="H2" s="338"/>
      <c r="I2" s="351"/>
    </row>
    <row r="3" spans="1:9" ht="16.5" thickBot="1" x14ac:dyDescent="0.3">
      <c r="A3" s="339"/>
      <c r="B3" s="341" t="s">
        <v>0</v>
      </c>
      <c r="C3" s="1" t="s">
        <v>1</v>
      </c>
      <c r="D3" s="352" t="s">
        <v>63</v>
      </c>
      <c r="E3" s="353"/>
      <c r="F3" s="344" t="s">
        <v>2</v>
      </c>
      <c r="G3" s="344"/>
      <c r="H3" s="344"/>
      <c r="I3" s="345" t="s">
        <v>3</v>
      </c>
    </row>
    <row r="4" spans="1:9" ht="16.5" thickBot="1" x14ac:dyDescent="0.3">
      <c r="A4" s="340"/>
      <c r="B4" s="342"/>
      <c r="C4" s="49" t="s">
        <v>4</v>
      </c>
      <c r="D4" s="80">
        <v>1</v>
      </c>
      <c r="E4" s="81">
        <v>2</v>
      </c>
      <c r="F4" s="82">
        <v>0</v>
      </c>
      <c r="G4" s="83">
        <v>1</v>
      </c>
      <c r="H4" s="84">
        <v>2</v>
      </c>
      <c r="I4" s="346"/>
    </row>
    <row r="5" spans="1:9" ht="18" x14ac:dyDescent="0.25">
      <c r="A5" s="54">
        <v>1</v>
      </c>
      <c r="B5" s="118" t="s">
        <v>83</v>
      </c>
      <c r="C5" s="90" t="s">
        <v>5</v>
      </c>
      <c r="D5" s="91">
        <v>9</v>
      </c>
      <c r="E5" s="92">
        <v>3</v>
      </c>
      <c r="F5" s="87">
        <v>1</v>
      </c>
      <c r="G5" s="91">
        <f>11+1</f>
        <v>12</v>
      </c>
      <c r="H5" s="93">
        <f>15+2.8+2.5</f>
        <v>20.3</v>
      </c>
      <c r="I5" s="89"/>
    </row>
    <row r="6" spans="1:9" ht="18" x14ac:dyDescent="0.25">
      <c r="A6" s="54">
        <v>2</v>
      </c>
      <c r="B6" s="43" t="s">
        <v>77</v>
      </c>
      <c r="C6" s="87" t="s">
        <v>5</v>
      </c>
      <c r="D6" s="91">
        <v>8</v>
      </c>
      <c r="E6" s="92">
        <v>2</v>
      </c>
      <c r="F6" s="87">
        <v>1.5</v>
      </c>
      <c r="G6" s="91">
        <f>11.5</f>
        <v>11.5</v>
      </c>
      <c r="H6" s="93">
        <f>16+1</f>
        <v>17</v>
      </c>
      <c r="I6" s="89">
        <f t="shared" ref="I6:I37" si="0">SUM(F6:H6)</f>
        <v>30</v>
      </c>
    </row>
    <row r="7" spans="1:9" ht="18" x14ac:dyDescent="0.25">
      <c r="A7" s="54">
        <v>3</v>
      </c>
      <c r="B7" s="70" t="s">
        <v>112</v>
      </c>
      <c r="C7" s="87">
        <v>10</v>
      </c>
      <c r="D7" s="91">
        <v>2</v>
      </c>
      <c r="E7" s="92">
        <v>1</v>
      </c>
      <c r="F7" s="87"/>
      <c r="G7" s="91">
        <f>10.5+0.5</f>
        <v>11</v>
      </c>
      <c r="H7" s="93">
        <f>17+1.4+0.5</f>
        <v>18.899999999999999</v>
      </c>
      <c r="I7" s="89">
        <f t="shared" si="0"/>
        <v>29.9</v>
      </c>
    </row>
    <row r="8" spans="1:9" ht="18" x14ac:dyDescent="0.25">
      <c r="A8" s="54">
        <v>4</v>
      </c>
      <c r="B8" s="43" t="s">
        <v>109</v>
      </c>
      <c r="C8" s="87">
        <v>16</v>
      </c>
      <c r="D8" s="91">
        <v>4</v>
      </c>
      <c r="E8" s="92">
        <v>4</v>
      </c>
      <c r="F8" s="87"/>
      <c r="G8" s="91">
        <f>14+0.5</f>
        <v>14.5</v>
      </c>
      <c r="H8" s="93">
        <f>14+1.4</f>
        <v>15.4</v>
      </c>
      <c r="I8" s="89">
        <f t="shared" si="0"/>
        <v>29.9</v>
      </c>
    </row>
    <row r="9" spans="1:9" ht="18" x14ac:dyDescent="0.25">
      <c r="A9" s="54">
        <v>5</v>
      </c>
      <c r="B9" s="77" t="s">
        <v>70</v>
      </c>
      <c r="C9" s="87">
        <v>12</v>
      </c>
      <c r="D9" s="91">
        <v>2</v>
      </c>
      <c r="E9" s="92">
        <v>6</v>
      </c>
      <c r="F9" s="87"/>
      <c r="G9" s="91">
        <f>16+0.7</f>
        <v>16.7</v>
      </c>
      <c r="H9" s="93">
        <f>12.5</f>
        <v>12.5</v>
      </c>
      <c r="I9" s="89">
        <f t="shared" si="0"/>
        <v>29.2</v>
      </c>
    </row>
    <row r="10" spans="1:9" ht="18" x14ac:dyDescent="0.25">
      <c r="A10" s="54">
        <v>6</v>
      </c>
      <c r="B10" s="43" t="s">
        <v>118</v>
      </c>
      <c r="C10" s="87"/>
      <c r="D10" s="91">
        <v>7</v>
      </c>
      <c r="E10" s="92">
        <v>8</v>
      </c>
      <c r="F10" s="87">
        <v>2.5</v>
      </c>
      <c r="G10" s="91">
        <f>12+2.1-3+2.5</f>
        <v>13.6</v>
      </c>
      <c r="H10" s="93">
        <f>11.5+1.4</f>
        <v>12.9</v>
      </c>
      <c r="I10" s="89">
        <f t="shared" si="0"/>
        <v>29</v>
      </c>
    </row>
    <row r="11" spans="1:9" ht="18" x14ac:dyDescent="0.25">
      <c r="A11" s="54">
        <v>7</v>
      </c>
      <c r="B11" s="43" t="s">
        <v>73</v>
      </c>
      <c r="C11" s="87">
        <v>1</v>
      </c>
      <c r="D11" s="91">
        <v>10</v>
      </c>
      <c r="E11" s="92">
        <v>9</v>
      </c>
      <c r="F11" s="87">
        <v>2</v>
      </c>
      <c r="G11" s="91">
        <f>10.5+2</f>
        <v>12.5</v>
      </c>
      <c r="H11" s="93">
        <f>11+2</f>
        <v>13</v>
      </c>
      <c r="I11" s="89">
        <f t="shared" si="0"/>
        <v>27.5</v>
      </c>
    </row>
    <row r="12" spans="1:9" ht="18" x14ac:dyDescent="0.25">
      <c r="A12" s="54">
        <v>8</v>
      </c>
      <c r="B12" s="43" t="s">
        <v>80</v>
      </c>
      <c r="C12" s="90" t="s">
        <v>5</v>
      </c>
      <c r="D12" s="94">
        <v>5</v>
      </c>
      <c r="E12" s="95">
        <v>5</v>
      </c>
      <c r="F12" s="90">
        <v>0.5</v>
      </c>
      <c r="G12" s="94">
        <f>13+0.7</f>
        <v>13.7</v>
      </c>
      <c r="H12" s="96">
        <f>13</f>
        <v>13</v>
      </c>
      <c r="I12" s="89">
        <f t="shared" si="0"/>
        <v>27.2</v>
      </c>
    </row>
    <row r="13" spans="1:9" ht="18" x14ac:dyDescent="0.25">
      <c r="A13" s="54">
        <v>9</v>
      </c>
      <c r="B13" s="70" t="s">
        <v>123</v>
      </c>
      <c r="C13" s="87"/>
      <c r="D13" s="91">
        <v>1</v>
      </c>
      <c r="E13" s="92">
        <v>10</v>
      </c>
      <c r="F13" s="87"/>
      <c r="G13" s="91">
        <f>17+0.7-4+1.5</f>
        <v>15.2</v>
      </c>
      <c r="H13" s="93">
        <f>10.5-2+1.5</f>
        <v>10</v>
      </c>
      <c r="I13" s="89">
        <f t="shared" si="0"/>
        <v>25.2</v>
      </c>
    </row>
    <row r="14" spans="1:9" ht="18" x14ac:dyDescent="0.25">
      <c r="A14" s="54">
        <v>10</v>
      </c>
      <c r="B14" s="43" t="s">
        <v>119</v>
      </c>
      <c r="C14" s="87">
        <v>7</v>
      </c>
      <c r="D14" s="94">
        <v>6</v>
      </c>
      <c r="E14" s="95">
        <v>3</v>
      </c>
      <c r="F14" s="90"/>
      <c r="G14" s="94">
        <f>12.5</f>
        <v>12.5</v>
      </c>
      <c r="H14" s="96">
        <f>9.5+0.5</f>
        <v>10</v>
      </c>
      <c r="I14" s="89">
        <f t="shared" si="0"/>
        <v>22.5</v>
      </c>
    </row>
    <row r="15" spans="1:9" ht="18" x14ac:dyDescent="0.25">
      <c r="A15" s="54">
        <v>11</v>
      </c>
      <c r="B15" s="77" t="s">
        <v>124</v>
      </c>
      <c r="C15" s="87" t="s">
        <v>5</v>
      </c>
      <c r="D15" s="91">
        <v>3</v>
      </c>
      <c r="E15" s="92">
        <v>7</v>
      </c>
      <c r="F15" s="87"/>
      <c r="G15" s="91">
        <f>9.5+1</f>
        <v>10.5</v>
      </c>
      <c r="H15" s="93">
        <f>12-2</f>
        <v>10</v>
      </c>
      <c r="I15" s="89">
        <f t="shared" si="0"/>
        <v>20.5</v>
      </c>
    </row>
    <row r="16" spans="1:9" ht="18" x14ac:dyDescent="0.25">
      <c r="A16" s="54">
        <v>12</v>
      </c>
      <c r="B16" s="70" t="s">
        <v>117</v>
      </c>
      <c r="C16" s="87" t="s">
        <v>5</v>
      </c>
      <c r="D16" s="94">
        <v>1</v>
      </c>
      <c r="E16" s="95">
        <v>5</v>
      </c>
      <c r="F16" s="90"/>
      <c r="G16" s="94">
        <f>11.5+0.5</f>
        <v>12</v>
      </c>
      <c r="H16" s="96">
        <f>7.5+2.5-2</f>
        <v>8</v>
      </c>
      <c r="I16" s="89">
        <f t="shared" si="0"/>
        <v>20</v>
      </c>
    </row>
    <row r="17" spans="1:9" ht="18" x14ac:dyDescent="0.25">
      <c r="A17" s="54">
        <v>13</v>
      </c>
      <c r="B17" s="70" t="s">
        <v>84</v>
      </c>
      <c r="C17" s="87">
        <v>20</v>
      </c>
      <c r="D17" s="91">
        <v>3</v>
      </c>
      <c r="E17" s="92">
        <v>1</v>
      </c>
      <c r="F17" s="87"/>
      <c r="G17" s="91">
        <f>4+3.5-2</f>
        <v>5.5</v>
      </c>
      <c r="H17" s="93">
        <f>11.5+0.5</f>
        <v>12</v>
      </c>
      <c r="I17" s="89">
        <f t="shared" si="0"/>
        <v>17.5</v>
      </c>
    </row>
    <row r="18" spans="1:9" ht="18" x14ac:dyDescent="0.25">
      <c r="A18" s="54">
        <v>14</v>
      </c>
      <c r="B18" s="70" t="s">
        <v>72</v>
      </c>
      <c r="C18" s="87">
        <v>8</v>
      </c>
      <c r="D18" s="91">
        <v>5</v>
      </c>
      <c r="E18" s="92">
        <v>4</v>
      </c>
      <c r="F18" s="87"/>
      <c r="G18" s="91">
        <v>7.5</v>
      </c>
      <c r="H18" s="93">
        <f>8.5+0.5</f>
        <v>9</v>
      </c>
      <c r="I18" s="89">
        <f t="shared" si="0"/>
        <v>16.5</v>
      </c>
    </row>
    <row r="19" spans="1:9" ht="18" x14ac:dyDescent="0.25">
      <c r="A19" s="54">
        <v>15</v>
      </c>
      <c r="B19" s="43" t="s">
        <v>114</v>
      </c>
      <c r="C19" s="87" t="s">
        <v>5</v>
      </c>
      <c r="D19" s="91">
        <v>9</v>
      </c>
      <c r="E19" s="92">
        <v>2</v>
      </c>
      <c r="F19" s="87"/>
      <c r="G19" s="91">
        <f>5.5</f>
        <v>5.5</v>
      </c>
      <c r="H19" s="93">
        <f>10.5+0.5-2</f>
        <v>9</v>
      </c>
      <c r="I19" s="89">
        <f t="shared" si="0"/>
        <v>14.5</v>
      </c>
    </row>
    <row r="20" spans="1:9" ht="18" x14ac:dyDescent="0.25">
      <c r="A20" s="54">
        <v>16</v>
      </c>
      <c r="B20" s="77" t="s">
        <v>111</v>
      </c>
      <c r="C20" s="87" t="s">
        <v>5</v>
      </c>
      <c r="D20" s="91">
        <v>4</v>
      </c>
      <c r="E20" s="92">
        <v>6</v>
      </c>
      <c r="F20" s="87"/>
      <c r="G20" s="91">
        <v>8.5</v>
      </c>
      <c r="H20" s="93">
        <f>7+0.5-2</f>
        <v>5.5</v>
      </c>
      <c r="I20" s="89">
        <f t="shared" si="0"/>
        <v>14</v>
      </c>
    </row>
    <row r="21" spans="1:9" ht="18" x14ac:dyDescent="0.25">
      <c r="A21" s="54">
        <v>17</v>
      </c>
      <c r="B21" s="43" t="s">
        <v>82</v>
      </c>
      <c r="C21" s="87">
        <v>10</v>
      </c>
      <c r="D21" s="94">
        <v>3</v>
      </c>
      <c r="E21" s="95">
        <v>8</v>
      </c>
      <c r="F21" s="90"/>
      <c r="G21" s="94">
        <f>15-2-2-4</f>
        <v>7</v>
      </c>
      <c r="H21" s="96">
        <f>6</f>
        <v>6</v>
      </c>
      <c r="I21" s="89">
        <f t="shared" si="0"/>
        <v>13</v>
      </c>
    </row>
    <row r="22" spans="1:9" ht="18" x14ac:dyDescent="0.25">
      <c r="A22" s="54">
        <v>18</v>
      </c>
      <c r="B22" s="43" t="s">
        <v>74</v>
      </c>
      <c r="C22" s="87">
        <v>5</v>
      </c>
      <c r="D22" s="94">
        <v>8</v>
      </c>
      <c r="E22" s="95">
        <v>9</v>
      </c>
      <c r="F22" s="90"/>
      <c r="G22" s="94">
        <f>6+1</f>
        <v>7</v>
      </c>
      <c r="H22" s="96">
        <f>5.5</f>
        <v>5.5</v>
      </c>
      <c r="I22" s="89">
        <f t="shared" si="0"/>
        <v>12.5</v>
      </c>
    </row>
    <row r="23" spans="1:9" ht="18" x14ac:dyDescent="0.25">
      <c r="A23" s="54">
        <v>19</v>
      </c>
      <c r="B23" s="72" t="s">
        <v>115</v>
      </c>
      <c r="C23" s="87" t="s">
        <v>5</v>
      </c>
      <c r="D23" s="94">
        <v>7</v>
      </c>
      <c r="E23" s="95">
        <v>7</v>
      </c>
      <c r="F23" s="90"/>
      <c r="G23" s="94">
        <f>6.5+1-3</f>
        <v>4.5</v>
      </c>
      <c r="H23" s="96">
        <f>6.5+1</f>
        <v>7.5</v>
      </c>
      <c r="I23" s="89">
        <f t="shared" si="0"/>
        <v>12</v>
      </c>
    </row>
    <row r="24" spans="1:9" ht="18" x14ac:dyDescent="0.25">
      <c r="A24" s="54">
        <v>20</v>
      </c>
      <c r="B24" s="43" t="s">
        <v>66</v>
      </c>
      <c r="C24" s="87"/>
      <c r="D24" s="91">
        <v>6</v>
      </c>
      <c r="E24" s="92">
        <v>10</v>
      </c>
      <c r="F24" s="87"/>
      <c r="G24" s="91">
        <f>7+0.5-3</f>
        <v>4.5</v>
      </c>
      <c r="H24" s="93">
        <f>5</f>
        <v>5</v>
      </c>
      <c r="I24" s="89">
        <f t="shared" si="0"/>
        <v>9.5</v>
      </c>
    </row>
    <row r="25" spans="1:9" ht="18" x14ac:dyDescent="0.25">
      <c r="A25" s="54">
        <v>21</v>
      </c>
      <c r="B25" s="71" t="s">
        <v>116</v>
      </c>
      <c r="C25" s="87">
        <v>1</v>
      </c>
      <c r="D25" s="94">
        <v>2</v>
      </c>
      <c r="E25" s="95">
        <v>5</v>
      </c>
      <c r="F25" s="90"/>
      <c r="G25" s="94">
        <f>5+0.5</f>
        <v>5.5</v>
      </c>
      <c r="H25" s="96">
        <f>2+1.5</f>
        <v>3.5</v>
      </c>
      <c r="I25" s="89">
        <f t="shared" si="0"/>
        <v>9</v>
      </c>
    </row>
    <row r="26" spans="1:9" ht="18" x14ac:dyDescent="0.25">
      <c r="A26" s="54">
        <v>22</v>
      </c>
      <c r="B26" s="43" t="s">
        <v>122</v>
      </c>
      <c r="C26" s="87">
        <v>3</v>
      </c>
      <c r="D26" s="91">
        <v>1</v>
      </c>
      <c r="E26" s="92">
        <v>9</v>
      </c>
      <c r="F26" s="87"/>
      <c r="G26" s="91">
        <f>6+1.5</f>
        <v>7.5</v>
      </c>
      <c r="H26" s="93">
        <f>0+0.5</f>
        <v>0.5</v>
      </c>
      <c r="I26" s="89">
        <f t="shared" si="0"/>
        <v>8</v>
      </c>
    </row>
    <row r="27" spans="1:9" ht="18" x14ac:dyDescent="0.25">
      <c r="A27" s="54">
        <v>23</v>
      </c>
      <c r="B27" s="43" t="s">
        <v>69</v>
      </c>
      <c r="C27" s="90" t="s">
        <v>5</v>
      </c>
      <c r="D27" s="91">
        <v>10</v>
      </c>
      <c r="E27" s="92">
        <v>7</v>
      </c>
      <c r="F27" s="87"/>
      <c r="G27" s="91">
        <f>5</f>
        <v>5</v>
      </c>
      <c r="H27" s="93">
        <f>1+1</f>
        <v>2</v>
      </c>
      <c r="I27" s="89">
        <f t="shared" si="0"/>
        <v>7</v>
      </c>
    </row>
    <row r="28" spans="1:9" ht="18" x14ac:dyDescent="0.25">
      <c r="A28" s="54">
        <v>24</v>
      </c>
      <c r="B28" s="43" t="s">
        <v>102</v>
      </c>
      <c r="C28" s="87" t="s">
        <v>5</v>
      </c>
      <c r="D28" s="91">
        <v>8</v>
      </c>
      <c r="E28" s="92">
        <v>1</v>
      </c>
      <c r="F28" s="87"/>
      <c r="G28" s="91">
        <v>0.5</v>
      </c>
      <c r="H28" s="93">
        <f>6+0.5</f>
        <v>6.5</v>
      </c>
      <c r="I28" s="89">
        <f t="shared" si="0"/>
        <v>7</v>
      </c>
    </row>
    <row r="29" spans="1:9" ht="18" x14ac:dyDescent="0.25">
      <c r="A29" s="54">
        <v>25</v>
      </c>
      <c r="B29" s="43" t="s">
        <v>15</v>
      </c>
      <c r="C29" s="90">
        <v>5</v>
      </c>
      <c r="D29" s="91">
        <v>7</v>
      </c>
      <c r="E29" s="92">
        <v>4</v>
      </c>
      <c r="F29" s="87"/>
      <c r="G29" s="91">
        <f>1+0.5</f>
        <v>1.5</v>
      </c>
      <c r="H29" s="93">
        <f>3+1</f>
        <v>4</v>
      </c>
      <c r="I29" s="89">
        <f t="shared" si="0"/>
        <v>5.5</v>
      </c>
    </row>
    <row r="30" spans="1:9" ht="18" x14ac:dyDescent="0.25">
      <c r="A30" s="54">
        <v>26</v>
      </c>
      <c r="B30" s="43" t="s">
        <v>120</v>
      </c>
      <c r="C30" s="87" t="s">
        <v>5</v>
      </c>
      <c r="D30" s="91">
        <v>10</v>
      </c>
      <c r="E30" s="92">
        <v>2</v>
      </c>
      <c r="F30" s="97"/>
      <c r="G30" s="91">
        <v>0</v>
      </c>
      <c r="H30" s="93">
        <f>5+0.5</f>
        <v>5.5</v>
      </c>
      <c r="I30" s="98">
        <f t="shared" si="0"/>
        <v>5.5</v>
      </c>
    </row>
    <row r="31" spans="1:9" ht="18" x14ac:dyDescent="0.25">
      <c r="A31" s="54">
        <v>27</v>
      </c>
      <c r="B31" s="103" t="s">
        <v>64</v>
      </c>
      <c r="C31" s="90" t="s">
        <v>5</v>
      </c>
      <c r="D31" s="91">
        <v>9</v>
      </c>
      <c r="E31" s="92">
        <v>3</v>
      </c>
      <c r="F31" s="87"/>
      <c r="G31" s="91">
        <v>0</v>
      </c>
      <c r="H31" s="93">
        <f>4+1</f>
        <v>5</v>
      </c>
      <c r="I31" s="98">
        <f t="shared" si="0"/>
        <v>5</v>
      </c>
    </row>
    <row r="32" spans="1:9" ht="18" x14ac:dyDescent="0.25">
      <c r="A32" s="56">
        <v>28</v>
      </c>
      <c r="B32" s="103" t="s">
        <v>110</v>
      </c>
      <c r="C32" s="90" t="s">
        <v>5</v>
      </c>
      <c r="D32" s="91">
        <v>4</v>
      </c>
      <c r="E32" s="92">
        <v>10</v>
      </c>
      <c r="F32" s="87"/>
      <c r="G32" s="91">
        <v>3</v>
      </c>
      <c r="H32" s="93">
        <v>0</v>
      </c>
      <c r="I32" s="98">
        <f t="shared" si="0"/>
        <v>3</v>
      </c>
    </row>
    <row r="33" spans="1:9" ht="18" x14ac:dyDescent="0.25">
      <c r="A33" s="54">
        <v>29</v>
      </c>
      <c r="B33" s="43" t="s">
        <v>62</v>
      </c>
      <c r="C33" s="90">
        <v>4</v>
      </c>
      <c r="D33" s="91">
        <v>5</v>
      </c>
      <c r="E33" s="92">
        <v>6</v>
      </c>
      <c r="F33" s="87"/>
      <c r="G33" s="91">
        <f>2+0.5</f>
        <v>2.5</v>
      </c>
      <c r="H33" s="93">
        <f>1.5+0.5-1-1</f>
        <v>0</v>
      </c>
      <c r="I33" s="98">
        <f t="shared" si="0"/>
        <v>2.5</v>
      </c>
    </row>
    <row r="34" spans="1:9" ht="18" x14ac:dyDescent="0.25">
      <c r="A34" s="54">
        <v>29.9</v>
      </c>
      <c r="B34" s="76" t="s">
        <v>93</v>
      </c>
      <c r="C34" s="102">
        <v>8</v>
      </c>
      <c r="D34" s="88">
        <v>6</v>
      </c>
      <c r="E34" s="88">
        <v>8</v>
      </c>
      <c r="F34" s="88"/>
      <c r="G34" s="88">
        <f>1.5+0.5-2-3</f>
        <v>-3</v>
      </c>
      <c r="H34" s="88">
        <f>0.5</f>
        <v>0.5</v>
      </c>
      <c r="I34" s="88">
        <f t="shared" si="0"/>
        <v>-2.5</v>
      </c>
    </row>
    <row r="35" spans="1:9" ht="18" x14ac:dyDescent="0.25">
      <c r="A35" s="54">
        <v>31</v>
      </c>
      <c r="B35" s="104" t="s">
        <v>106</v>
      </c>
      <c r="C35" s="93">
        <v>19</v>
      </c>
      <c r="D35" s="96"/>
      <c r="E35" s="96"/>
      <c r="F35" s="96"/>
      <c r="G35" s="96"/>
      <c r="H35" s="96"/>
      <c r="I35" s="88">
        <f t="shared" si="0"/>
        <v>0</v>
      </c>
    </row>
    <row r="36" spans="1:9" ht="18" x14ac:dyDescent="0.25">
      <c r="A36" s="56">
        <v>32</v>
      </c>
      <c r="B36" s="78" t="s">
        <v>113</v>
      </c>
      <c r="C36" s="93" t="s">
        <v>5</v>
      </c>
      <c r="D36" s="93"/>
      <c r="E36" s="93"/>
      <c r="F36" s="93"/>
      <c r="G36" s="93"/>
      <c r="H36" s="93"/>
      <c r="I36" s="88">
        <f t="shared" si="0"/>
        <v>0</v>
      </c>
    </row>
    <row r="37" spans="1:9" ht="21" customHeight="1" x14ac:dyDescent="0.25">
      <c r="A37" s="54">
        <v>33</v>
      </c>
      <c r="B37" s="43" t="s">
        <v>121</v>
      </c>
      <c r="C37" s="87" t="s">
        <v>5</v>
      </c>
      <c r="D37" s="93"/>
      <c r="E37" s="93"/>
      <c r="F37" s="93"/>
      <c r="G37" s="93"/>
      <c r="H37" s="93"/>
      <c r="I37" s="88">
        <f t="shared" si="0"/>
        <v>0</v>
      </c>
    </row>
    <row r="38" spans="1:9" ht="18" hidden="1" x14ac:dyDescent="0.25">
      <c r="A38" s="54">
        <v>34</v>
      </c>
    </row>
    <row r="39" spans="1:9" ht="18" hidden="1" x14ac:dyDescent="0.25">
      <c r="A39" s="75">
        <v>35</v>
      </c>
      <c r="B39" s="78"/>
      <c r="C39" s="93"/>
      <c r="D39" s="93"/>
      <c r="E39" s="93"/>
      <c r="F39" s="93"/>
      <c r="G39" s="93"/>
      <c r="H39" s="93"/>
      <c r="I39" s="88"/>
    </row>
    <row r="40" spans="1:9" hidden="1" x14ac:dyDescent="0.25">
      <c r="A40" s="35"/>
      <c r="B40" s="35"/>
      <c r="C40" s="35"/>
      <c r="D40" s="35"/>
      <c r="E40" s="35"/>
      <c r="F40" s="35"/>
      <c r="G40" s="35"/>
      <c r="H40" s="35"/>
      <c r="I40" s="35"/>
    </row>
  </sheetData>
  <sortState ref="B34:I37">
    <sortCondition ref="I34:I37"/>
  </sortState>
  <mergeCells count="6">
    <mergeCell ref="A1:I2"/>
    <mergeCell ref="A3:A4"/>
    <mergeCell ref="B3:B4"/>
    <mergeCell ref="D3:E3"/>
    <mergeCell ref="F3:H3"/>
    <mergeCell ref="I3:I4"/>
  </mergeCells>
  <pageMargins left="0.70866141732283472" right="0.70866141732283472" top="0.74803149606299213" bottom="0.74803149606299213" header="0.31496062992125984" footer="0.31496062992125984"/>
  <pageSetup paperSize="9" scale="72" orientation="portrait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0"/>
  <sheetViews>
    <sheetView zoomScale="60" zoomScaleNormal="60" workbookViewId="0">
      <selection activeCell="B11" sqref="B11"/>
    </sheetView>
  </sheetViews>
  <sheetFormatPr defaultRowHeight="15" x14ac:dyDescent="0.25"/>
  <cols>
    <col min="1" max="1" width="5.140625" customWidth="1"/>
    <col min="2" max="2" width="52.5703125" customWidth="1"/>
    <col min="3" max="3" width="7.7109375" customWidth="1"/>
  </cols>
  <sheetData>
    <row r="1" spans="1:9" x14ac:dyDescent="0.25">
      <c r="A1" s="347" t="s">
        <v>125</v>
      </c>
      <c r="B1" s="348"/>
      <c r="C1" s="348"/>
      <c r="D1" s="348"/>
      <c r="E1" s="348"/>
      <c r="F1" s="348"/>
      <c r="G1" s="348"/>
      <c r="H1" s="348"/>
      <c r="I1" s="349"/>
    </row>
    <row r="2" spans="1:9" ht="15.75" thickBot="1" x14ac:dyDescent="0.3">
      <c r="A2" s="350"/>
      <c r="B2" s="338"/>
      <c r="C2" s="338"/>
      <c r="D2" s="338"/>
      <c r="E2" s="338"/>
      <c r="F2" s="338"/>
      <c r="G2" s="338"/>
      <c r="H2" s="338"/>
      <c r="I2" s="351"/>
    </row>
    <row r="3" spans="1:9" ht="16.5" thickBot="1" x14ac:dyDescent="0.3">
      <c r="A3" s="339"/>
      <c r="B3" s="341" t="s">
        <v>0</v>
      </c>
      <c r="C3" s="1" t="s">
        <v>1</v>
      </c>
      <c r="D3" s="352" t="s">
        <v>63</v>
      </c>
      <c r="E3" s="353"/>
      <c r="F3" s="344" t="s">
        <v>2</v>
      </c>
      <c r="G3" s="344"/>
      <c r="H3" s="344"/>
      <c r="I3" s="345" t="s">
        <v>3</v>
      </c>
    </row>
    <row r="4" spans="1:9" ht="16.5" thickBot="1" x14ac:dyDescent="0.3">
      <c r="A4" s="340"/>
      <c r="B4" s="342"/>
      <c r="C4" s="49" t="s">
        <v>4</v>
      </c>
      <c r="D4" s="80">
        <v>1</v>
      </c>
      <c r="E4" s="81">
        <v>2</v>
      </c>
      <c r="F4" s="82">
        <v>0</v>
      </c>
      <c r="G4" s="83">
        <v>1</v>
      </c>
      <c r="H4" s="84">
        <v>2</v>
      </c>
      <c r="I4" s="346"/>
    </row>
    <row r="5" spans="1:9" ht="18" x14ac:dyDescent="0.25">
      <c r="A5" s="54">
        <v>1</v>
      </c>
      <c r="B5" s="69" t="s">
        <v>9</v>
      </c>
      <c r="C5" s="90" t="s">
        <v>5</v>
      </c>
      <c r="D5" s="91">
        <v>1</v>
      </c>
      <c r="E5" s="92">
        <v>1</v>
      </c>
      <c r="F5" s="87"/>
      <c r="G5" s="91">
        <f>17</f>
        <v>17</v>
      </c>
      <c r="H5" s="93">
        <f>17+1.4</f>
        <v>18.399999999999999</v>
      </c>
      <c r="I5" s="89">
        <f t="shared" ref="I5:I34" si="0">SUM(F5:H5)</f>
        <v>35.4</v>
      </c>
    </row>
    <row r="6" spans="1:9" ht="18" x14ac:dyDescent="0.25">
      <c r="A6" s="54">
        <v>2</v>
      </c>
      <c r="B6" s="43" t="s">
        <v>123</v>
      </c>
      <c r="C6" s="87">
        <v>2.5</v>
      </c>
      <c r="D6" s="91">
        <v>2</v>
      </c>
      <c r="E6" s="92">
        <v>4</v>
      </c>
      <c r="F6" s="87"/>
      <c r="G6" s="91">
        <f>16+1.4-2-2+2.5</f>
        <v>15.899999999999999</v>
      </c>
      <c r="H6" s="93">
        <f>14+4.2+1-2</f>
        <v>17.2</v>
      </c>
      <c r="I6" s="89">
        <f t="shared" si="0"/>
        <v>33.099999999999994</v>
      </c>
    </row>
    <row r="7" spans="1:9" ht="18" x14ac:dyDescent="0.25">
      <c r="A7" s="54">
        <v>3</v>
      </c>
      <c r="B7" s="77" t="s">
        <v>130</v>
      </c>
      <c r="C7" s="87">
        <v>1</v>
      </c>
      <c r="D7" s="91">
        <v>3</v>
      </c>
      <c r="E7" s="92">
        <v>6</v>
      </c>
      <c r="F7" s="87"/>
      <c r="G7" s="91">
        <f>15+1.4+1</f>
        <v>17.399999999999999</v>
      </c>
      <c r="H7" s="93">
        <f>12.5+0.7+2</f>
        <v>15.2</v>
      </c>
      <c r="I7" s="89">
        <f t="shared" si="0"/>
        <v>32.599999999999994</v>
      </c>
    </row>
    <row r="8" spans="1:9" ht="18" x14ac:dyDescent="0.25">
      <c r="A8" s="54">
        <v>4</v>
      </c>
      <c r="B8" s="43" t="s">
        <v>131</v>
      </c>
      <c r="C8" s="87">
        <v>6</v>
      </c>
      <c r="D8" s="94">
        <v>7</v>
      </c>
      <c r="E8" s="95">
        <v>9</v>
      </c>
      <c r="F8" s="90">
        <v>2.5</v>
      </c>
      <c r="G8" s="94">
        <f>12+2.1+2</f>
        <v>16.100000000000001</v>
      </c>
      <c r="H8" s="96">
        <f>11+2.5</f>
        <v>13.5</v>
      </c>
      <c r="I8" s="89">
        <f t="shared" si="0"/>
        <v>32.1</v>
      </c>
    </row>
    <row r="9" spans="1:9" ht="18" x14ac:dyDescent="0.25">
      <c r="A9" s="54">
        <v>5</v>
      </c>
      <c r="B9" s="43" t="s">
        <v>38</v>
      </c>
      <c r="C9" s="87" t="s">
        <v>5</v>
      </c>
      <c r="D9" s="91">
        <v>2</v>
      </c>
      <c r="E9" s="92">
        <v>7</v>
      </c>
      <c r="F9" s="87"/>
      <c r="G9" s="91">
        <f>10.5+4+1.5</f>
        <v>16</v>
      </c>
      <c r="H9" s="93">
        <f>12+0.7</f>
        <v>12.7</v>
      </c>
      <c r="I9" s="89">
        <f t="shared" si="0"/>
        <v>28.7</v>
      </c>
    </row>
    <row r="10" spans="1:9" ht="18" x14ac:dyDescent="0.25">
      <c r="A10" s="54">
        <v>6</v>
      </c>
      <c r="B10" s="103" t="s">
        <v>72</v>
      </c>
      <c r="C10" s="90">
        <v>7.5</v>
      </c>
      <c r="D10" s="91">
        <v>5</v>
      </c>
      <c r="E10" s="92">
        <v>6</v>
      </c>
      <c r="F10" s="87">
        <v>2</v>
      </c>
      <c r="G10" s="91">
        <f>13+2.8-2</f>
        <v>13.8</v>
      </c>
      <c r="H10" s="93">
        <f>7+2+1.5</f>
        <v>10.5</v>
      </c>
      <c r="I10" s="89">
        <f t="shared" si="0"/>
        <v>26.3</v>
      </c>
    </row>
    <row r="11" spans="1:9" ht="18" x14ac:dyDescent="0.25">
      <c r="A11" s="54">
        <v>7</v>
      </c>
      <c r="B11" s="43" t="s">
        <v>74</v>
      </c>
      <c r="C11" s="87">
        <v>5</v>
      </c>
      <c r="D11" s="91">
        <v>8</v>
      </c>
      <c r="E11" s="92">
        <v>3</v>
      </c>
      <c r="F11" s="87">
        <v>1</v>
      </c>
      <c r="G11" s="91">
        <f>11.5</f>
        <v>11.5</v>
      </c>
      <c r="H11" s="93">
        <f>15+0.7-2</f>
        <v>13.7</v>
      </c>
      <c r="I11" s="89">
        <f t="shared" si="0"/>
        <v>26.2</v>
      </c>
    </row>
    <row r="12" spans="1:9" ht="18" x14ac:dyDescent="0.25">
      <c r="A12" s="54">
        <v>8</v>
      </c>
      <c r="B12" s="70" t="s">
        <v>70</v>
      </c>
      <c r="C12" s="87">
        <v>12</v>
      </c>
      <c r="D12" s="91">
        <v>4</v>
      </c>
      <c r="E12" s="92">
        <v>5</v>
      </c>
      <c r="F12" s="87"/>
      <c r="G12" s="91">
        <f>14</f>
        <v>14</v>
      </c>
      <c r="H12" s="93">
        <f>13-2+0.5</f>
        <v>11.5</v>
      </c>
      <c r="I12" s="89">
        <f t="shared" si="0"/>
        <v>25.5</v>
      </c>
    </row>
    <row r="13" spans="1:9" ht="18" x14ac:dyDescent="0.25">
      <c r="A13" s="54">
        <v>9</v>
      </c>
      <c r="B13" s="70" t="s">
        <v>109</v>
      </c>
      <c r="C13" s="87"/>
      <c r="D13" s="91">
        <v>5</v>
      </c>
      <c r="E13" s="92">
        <v>2</v>
      </c>
      <c r="F13" s="87"/>
      <c r="G13" s="91">
        <f>7.5+1.5</f>
        <v>9</v>
      </c>
      <c r="H13" s="93">
        <f>16</f>
        <v>16</v>
      </c>
      <c r="I13" s="89">
        <f t="shared" si="0"/>
        <v>25</v>
      </c>
    </row>
    <row r="14" spans="1:9" ht="18" x14ac:dyDescent="0.25">
      <c r="A14" s="54">
        <v>10</v>
      </c>
      <c r="B14" s="70" t="s">
        <v>132</v>
      </c>
      <c r="C14" s="87" t="s">
        <v>5</v>
      </c>
      <c r="D14" s="94">
        <v>6</v>
      </c>
      <c r="E14" s="95">
        <v>10</v>
      </c>
      <c r="F14" s="90"/>
      <c r="G14" s="94">
        <f>12.5</f>
        <v>12.5</v>
      </c>
      <c r="H14" s="96">
        <f>10.5</f>
        <v>10.5</v>
      </c>
      <c r="I14" s="89">
        <f t="shared" si="0"/>
        <v>23</v>
      </c>
    </row>
    <row r="15" spans="1:9" ht="18" x14ac:dyDescent="0.25">
      <c r="A15" s="54">
        <v>11</v>
      </c>
      <c r="B15" s="43" t="s">
        <v>140</v>
      </c>
      <c r="C15" s="90">
        <v>7</v>
      </c>
      <c r="D15" s="94">
        <v>10</v>
      </c>
      <c r="E15" s="95">
        <v>8</v>
      </c>
      <c r="F15" s="90">
        <v>1.5</v>
      </c>
      <c r="G15" s="94">
        <f>10.5+0.5</f>
        <v>11</v>
      </c>
      <c r="H15" s="96">
        <f>11.5-2</f>
        <v>9.5</v>
      </c>
      <c r="I15" s="89">
        <f t="shared" si="0"/>
        <v>22</v>
      </c>
    </row>
    <row r="16" spans="1:9" ht="18" x14ac:dyDescent="0.25">
      <c r="A16" s="54">
        <v>12</v>
      </c>
      <c r="B16" s="43" t="s">
        <v>134</v>
      </c>
      <c r="C16" s="90"/>
      <c r="D16" s="91">
        <v>1</v>
      </c>
      <c r="E16" s="92">
        <v>5</v>
      </c>
      <c r="F16" s="87"/>
      <c r="G16" s="91">
        <f>11.5+0.5</f>
        <v>12</v>
      </c>
      <c r="H16" s="93">
        <f>7.5+0.5</f>
        <v>8</v>
      </c>
      <c r="I16" s="89">
        <f t="shared" si="0"/>
        <v>20</v>
      </c>
    </row>
    <row r="17" spans="1:9" ht="18" x14ac:dyDescent="0.25">
      <c r="A17" s="54">
        <v>13</v>
      </c>
      <c r="B17" s="43" t="s">
        <v>15</v>
      </c>
      <c r="C17" s="87">
        <v>6</v>
      </c>
      <c r="D17" s="91">
        <v>6</v>
      </c>
      <c r="E17" s="92">
        <v>1</v>
      </c>
      <c r="F17" s="87"/>
      <c r="G17" s="91">
        <f>7</f>
        <v>7</v>
      </c>
      <c r="H17" s="93">
        <f>11.5+1</f>
        <v>12.5</v>
      </c>
      <c r="I17" s="89">
        <f t="shared" si="0"/>
        <v>19.5</v>
      </c>
    </row>
    <row r="18" spans="1:9" ht="18" x14ac:dyDescent="0.25">
      <c r="A18" s="54">
        <v>14</v>
      </c>
      <c r="B18" s="103" t="s">
        <v>136</v>
      </c>
      <c r="C18" s="90">
        <v>12</v>
      </c>
      <c r="D18" s="91">
        <v>3</v>
      </c>
      <c r="E18" s="92">
        <v>1</v>
      </c>
      <c r="F18" s="87"/>
      <c r="G18" s="91">
        <f>9.5</f>
        <v>9.5</v>
      </c>
      <c r="H18" s="93">
        <f>6+3.5</f>
        <v>9.5</v>
      </c>
      <c r="I18" s="89">
        <f t="shared" si="0"/>
        <v>19</v>
      </c>
    </row>
    <row r="19" spans="1:9" ht="18" x14ac:dyDescent="0.25">
      <c r="A19" s="54">
        <v>15</v>
      </c>
      <c r="B19" s="43" t="s">
        <v>93</v>
      </c>
      <c r="C19" s="87">
        <v>9</v>
      </c>
      <c r="D19" s="91">
        <v>9</v>
      </c>
      <c r="E19" s="92">
        <v>7</v>
      </c>
      <c r="F19" s="87">
        <v>0.5</v>
      </c>
      <c r="G19" s="91">
        <f>11</f>
        <v>11</v>
      </c>
      <c r="H19" s="93">
        <f>6.5+0.5</f>
        <v>7</v>
      </c>
      <c r="I19" s="89">
        <f t="shared" si="0"/>
        <v>18.5</v>
      </c>
    </row>
    <row r="20" spans="1:9" ht="18" x14ac:dyDescent="0.25">
      <c r="A20" s="54">
        <v>16</v>
      </c>
      <c r="B20" s="77" t="s">
        <v>120</v>
      </c>
      <c r="C20" s="87" t="s">
        <v>5</v>
      </c>
      <c r="D20" s="91">
        <v>4</v>
      </c>
      <c r="E20" s="92">
        <v>3</v>
      </c>
      <c r="F20" s="87"/>
      <c r="G20" s="91">
        <f>8.5</f>
        <v>8.5</v>
      </c>
      <c r="H20" s="93">
        <f>9.5</f>
        <v>9.5</v>
      </c>
      <c r="I20" s="89">
        <f t="shared" si="0"/>
        <v>18</v>
      </c>
    </row>
    <row r="21" spans="1:9" ht="18" x14ac:dyDescent="0.25">
      <c r="A21" s="54">
        <v>17</v>
      </c>
      <c r="B21" s="77" t="s">
        <v>127</v>
      </c>
      <c r="C21" s="87">
        <v>18</v>
      </c>
      <c r="D21" s="91">
        <v>8</v>
      </c>
      <c r="E21" s="92">
        <v>2</v>
      </c>
      <c r="F21" s="87"/>
      <c r="G21" s="91">
        <f>6+0.5-3</f>
        <v>3.5</v>
      </c>
      <c r="H21" s="93">
        <f>10.5+1</f>
        <v>11.5</v>
      </c>
      <c r="I21" s="89">
        <f t="shared" si="0"/>
        <v>15</v>
      </c>
    </row>
    <row r="22" spans="1:9" ht="18" x14ac:dyDescent="0.25">
      <c r="A22" s="54">
        <v>18</v>
      </c>
      <c r="B22" s="70" t="s">
        <v>133</v>
      </c>
      <c r="C22" s="87"/>
      <c r="D22" s="94">
        <v>7</v>
      </c>
      <c r="E22" s="95">
        <v>8</v>
      </c>
      <c r="F22" s="90"/>
      <c r="G22" s="94">
        <f>6.5</f>
        <v>6.5</v>
      </c>
      <c r="H22" s="96">
        <f>6+0.5</f>
        <v>6.5</v>
      </c>
      <c r="I22" s="89">
        <f t="shared" si="0"/>
        <v>13</v>
      </c>
    </row>
    <row r="23" spans="1:9" ht="18" x14ac:dyDescent="0.25">
      <c r="A23" s="54">
        <v>19</v>
      </c>
      <c r="B23" s="69" t="s">
        <v>96</v>
      </c>
      <c r="C23" s="87" t="s">
        <v>5</v>
      </c>
      <c r="D23" s="94">
        <v>4</v>
      </c>
      <c r="E23" s="95">
        <v>4</v>
      </c>
      <c r="F23" s="90"/>
      <c r="G23" s="94">
        <f>3+2.5-2</f>
        <v>3.5</v>
      </c>
      <c r="H23" s="96">
        <f>8.5</f>
        <v>8.5</v>
      </c>
      <c r="I23" s="89">
        <f t="shared" si="0"/>
        <v>12</v>
      </c>
    </row>
    <row r="24" spans="1:9" ht="18" x14ac:dyDescent="0.25">
      <c r="A24" s="54">
        <v>20</v>
      </c>
      <c r="B24" s="43" t="s">
        <v>62</v>
      </c>
      <c r="C24" s="87">
        <v>5</v>
      </c>
      <c r="D24" s="91">
        <v>10</v>
      </c>
      <c r="E24" s="92">
        <v>9</v>
      </c>
      <c r="F24" s="87"/>
      <c r="G24" s="91">
        <f>5</f>
        <v>5</v>
      </c>
      <c r="H24" s="93">
        <f>5.5</f>
        <v>5.5</v>
      </c>
      <c r="I24" s="89">
        <f t="shared" si="0"/>
        <v>10.5</v>
      </c>
    </row>
    <row r="25" spans="1:9" ht="18" x14ac:dyDescent="0.25">
      <c r="A25" s="54">
        <v>21</v>
      </c>
      <c r="B25" s="70" t="s">
        <v>126</v>
      </c>
      <c r="C25" s="87">
        <v>13</v>
      </c>
      <c r="D25" s="91">
        <v>3</v>
      </c>
      <c r="E25" s="92">
        <v>5</v>
      </c>
      <c r="F25" s="87"/>
      <c r="G25" s="91">
        <f>4+2.5</f>
        <v>6.5</v>
      </c>
      <c r="H25" s="93">
        <f>2+1</f>
        <v>3</v>
      </c>
      <c r="I25" s="89">
        <f t="shared" si="0"/>
        <v>9.5</v>
      </c>
    </row>
    <row r="26" spans="1:9" ht="18" x14ac:dyDescent="0.25">
      <c r="A26" s="54">
        <v>22</v>
      </c>
      <c r="B26" s="103" t="s">
        <v>137</v>
      </c>
      <c r="C26" s="90" t="s">
        <v>5</v>
      </c>
      <c r="D26" s="91">
        <v>9</v>
      </c>
      <c r="E26" s="92">
        <v>2</v>
      </c>
      <c r="F26" s="87"/>
      <c r="G26" s="91">
        <f>5.5-2</f>
        <v>3.5</v>
      </c>
      <c r="H26" s="93">
        <f>5</f>
        <v>5</v>
      </c>
      <c r="I26" s="89">
        <f t="shared" si="0"/>
        <v>8.5</v>
      </c>
    </row>
    <row r="27" spans="1:9" ht="18" x14ac:dyDescent="0.25">
      <c r="A27" s="54">
        <v>23</v>
      </c>
      <c r="B27" s="43" t="s">
        <v>100</v>
      </c>
      <c r="C27" s="87">
        <v>9</v>
      </c>
      <c r="D27" s="91">
        <v>1</v>
      </c>
      <c r="E27" s="92">
        <v>6</v>
      </c>
      <c r="F27" s="87"/>
      <c r="G27" s="91">
        <f>6+0.5</f>
        <v>6.5</v>
      </c>
      <c r="H27" s="93">
        <f>1.5</f>
        <v>1.5</v>
      </c>
      <c r="I27" s="89">
        <f t="shared" si="0"/>
        <v>8</v>
      </c>
    </row>
    <row r="28" spans="1:9" ht="18" x14ac:dyDescent="0.25">
      <c r="A28" s="54">
        <v>24</v>
      </c>
      <c r="B28" s="43" t="s">
        <v>128</v>
      </c>
      <c r="C28" s="87" t="s">
        <v>5</v>
      </c>
      <c r="D28" s="91">
        <v>7</v>
      </c>
      <c r="E28" s="92">
        <v>3</v>
      </c>
      <c r="F28" s="87"/>
      <c r="G28" s="91">
        <f>1</f>
        <v>1</v>
      </c>
      <c r="H28" s="93">
        <f>4+0.5</f>
        <v>4.5</v>
      </c>
      <c r="I28" s="89">
        <f t="shared" si="0"/>
        <v>5.5</v>
      </c>
    </row>
    <row r="29" spans="1:9" ht="18" x14ac:dyDescent="0.25">
      <c r="A29" s="54">
        <v>25</v>
      </c>
      <c r="B29" s="43" t="s">
        <v>141</v>
      </c>
      <c r="C29" s="90"/>
      <c r="D29" s="91">
        <v>6</v>
      </c>
      <c r="E29" s="92">
        <v>4</v>
      </c>
      <c r="F29" s="87"/>
      <c r="G29" s="91">
        <f>1.5</f>
        <v>1.5</v>
      </c>
      <c r="H29" s="93">
        <f>3+0.5</f>
        <v>3.5</v>
      </c>
      <c r="I29" s="89">
        <f t="shared" si="0"/>
        <v>5</v>
      </c>
    </row>
    <row r="30" spans="1:9" ht="18" x14ac:dyDescent="0.25">
      <c r="A30" s="54">
        <v>26</v>
      </c>
      <c r="B30" s="71" t="s">
        <v>59</v>
      </c>
      <c r="C30" s="87">
        <v>12.5</v>
      </c>
      <c r="D30" s="94">
        <v>2</v>
      </c>
      <c r="E30" s="95">
        <v>10</v>
      </c>
      <c r="F30" s="90"/>
      <c r="G30" s="94">
        <f>5+0.5-3</f>
        <v>2.5</v>
      </c>
      <c r="H30" s="96">
        <f>5-2-2</f>
        <v>1</v>
      </c>
      <c r="I30" s="89">
        <f t="shared" si="0"/>
        <v>3.5</v>
      </c>
    </row>
    <row r="31" spans="1:9" ht="18" x14ac:dyDescent="0.25">
      <c r="A31" s="54">
        <v>27</v>
      </c>
      <c r="B31" s="43" t="s">
        <v>139</v>
      </c>
      <c r="C31" s="87" t="s">
        <v>5</v>
      </c>
      <c r="D31" s="94">
        <v>5</v>
      </c>
      <c r="E31" s="95">
        <v>7</v>
      </c>
      <c r="F31" s="90"/>
      <c r="G31" s="94">
        <f>2+0.5</f>
        <v>2.5</v>
      </c>
      <c r="H31" s="96">
        <f>1</f>
        <v>1</v>
      </c>
      <c r="I31" s="89">
        <f t="shared" si="0"/>
        <v>3.5</v>
      </c>
    </row>
    <row r="32" spans="1:9" ht="18" x14ac:dyDescent="0.25">
      <c r="A32" s="54">
        <v>28</v>
      </c>
      <c r="B32" s="43" t="s">
        <v>138</v>
      </c>
      <c r="C32" s="90"/>
      <c r="D32" s="91">
        <v>8</v>
      </c>
      <c r="E32" s="92"/>
      <c r="F32" s="87"/>
      <c r="G32" s="91">
        <f>0.5</f>
        <v>0.5</v>
      </c>
      <c r="H32" s="93"/>
      <c r="I32" s="89">
        <f t="shared" si="0"/>
        <v>0.5</v>
      </c>
    </row>
    <row r="33" spans="1:9" ht="18" x14ac:dyDescent="0.25">
      <c r="A33" s="54">
        <v>29</v>
      </c>
      <c r="B33" s="70" t="s">
        <v>129</v>
      </c>
      <c r="C33" s="87" t="s">
        <v>5</v>
      </c>
      <c r="D33" s="91">
        <v>9</v>
      </c>
      <c r="E33" s="92">
        <v>8</v>
      </c>
      <c r="F33" s="87"/>
      <c r="G33" s="91">
        <f>0</f>
        <v>0</v>
      </c>
      <c r="H33" s="93">
        <f>0.5</f>
        <v>0.5</v>
      </c>
      <c r="I33" s="89">
        <f t="shared" si="0"/>
        <v>0.5</v>
      </c>
    </row>
    <row r="34" spans="1:9" ht="18" x14ac:dyDescent="0.25">
      <c r="A34" s="54">
        <v>30</v>
      </c>
      <c r="B34" s="76" t="s">
        <v>135</v>
      </c>
      <c r="C34" s="88" t="s">
        <v>5</v>
      </c>
      <c r="D34" s="88">
        <v>10</v>
      </c>
      <c r="E34" s="88">
        <v>9</v>
      </c>
      <c r="F34" s="119"/>
      <c r="G34" s="88">
        <f>0</f>
        <v>0</v>
      </c>
      <c r="H34" s="88">
        <f>0</f>
        <v>0</v>
      </c>
      <c r="I34" s="89">
        <f t="shared" si="0"/>
        <v>0</v>
      </c>
    </row>
    <row r="35" spans="1:9" ht="18" x14ac:dyDescent="0.25">
      <c r="A35" s="54"/>
      <c r="B35" s="104"/>
      <c r="C35" s="93"/>
      <c r="D35" s="96"/>
      <c r="E35" s="96"/>
      <c r="F35" s="96"/>
      <c r="G35" s="96"/>
      <c r="H35" s="96"/>
      <c r="I35" s="88"/>
    </row>
    <row r="36" spans="1:9" ht="18" x14ac:dyDescent="0.25">
      <c r="A36" s="56"/>
      <c r="B36" s="78"/>
      <c r="C36" s="93"/>
      <c r="D36" s="93"/>
      <c r="E36" s="93"/>
      <c r="F36" s="93"/>
      <c r="G36" s="93"/>
      <c r="H36" s="93"/>
      <c r="I36" s="88"/>
    </row>
    <row r="37" spans="1:9" ht="21" customHeight="1" x14ac:dyDescent="0.25">
      <c r="A37" s="54"/>
      <c r="B37" s="43"/>
      <c r="C37" s="87"/>
      <c r="D37" s="93"/>
      <c r="E37" s="93"/>
      <c r="F37" s="93"/>
      <c r="G37" s="93"/>
      <c r="H37" s="93"/>
      <c r="I37" s="88"/>
    </row>
    <row r="38" spans="1:9" ht="18" hidden="1" x14ac:dyDescent="0.25">
      <c r="A38" s="54">
        <v>34</v>
      </c>
    </row>
    <row r="39" spans="1:9" ht="18" hidden="1" x14ac:dyDescent="0.25">
      <c r="A39" s="75">
        <v>35</v>
      </c>
      <c r="B39" s="78"/>
      <c r="C39" s="93"/>
      <c r="D39" s="93"/>
      <c r="E39" s="93"/>
      <c r="F39" s="93"/>
      <c r="G39" s="93"/>
      <c r="H39" s="93"/>
      <c r="I39" s="88"/>
    </row>
    <row r="40" spans="1:9" hidden="1" x14ac:dyDescent="0.25">
      <c r="A40" s="35"/>
      <c r="B40" s="35"/>
      <c r="C40" s="35"/>
      <c r="D40" s="35"/>
      <c r="E40" s="35"/>
      <c r="F40" s="35"/>
      <c r="G40" s="35"/>
      <c r="H40" s="35"/>
      <c r="I40" s="35"/>
    </row>
  </sheetData>
  <sortState ref="B6:I34">
    <sortCondition descending="1" ref="I5:I34"/>
  </sortState>
  <mergeCells count="6">
    <mergeCell ref="A1:I2"/>
    <mergeCell ref="A3:A4"/>
    <mergeCell ref="B3:B4"/>
    <mergeCell ref="D3:E3"/>
    <mergeCell ref="F3:H3"/>
    <mergeCell ref="I3:I4"/>
  </mergeCells>
  <pageMargins left="0.70866141732283472" right="0.70866141732283472" top="0.74803149606299213" bottom="0.74803149606299213" header="0.31496062992125984" footer="0.31496062992125984"/>
  <pageSetup paperSize="9" scale="72" orientation="portrait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9"/>
  <sheetViews>
    <sheetView zoomScale="50" zoomScaleNormal="50" workbookViewId="0">
      <selection activeCell="B8" sqref="B8"/>
    </sheetView>
  </sheetViews>
  <sheetFormatPr defaultRowHeight="15" x14ac:dyDescent="0.25"/>
  <cols>
    <col min="1" max="1" width="5.140625" customWidth="1"/>
    <col min="2" max="2" width="57.85546875" customWidth="1"/>
    <col min="3" max="3" width="7.7109375" customWidth="1"/>
  </cols>
  <sheetData>
    <row r="1" spans="1:9" x14ac:dyDescent="0.25">
      <c r="A1" s="347" t="s">
        <v>142</v>
      </c>
      <c r="B1" s="348"/>
      <c r="C1" s="348"/>
      <c r="D1" s="348"/>
      <c r="E1" s="348"/>
      <c r="F1" s="348"/>
      <c r="G1" s="348"/>
      <c r="H1" s="348"/>
      <c r="I1" s="349"/>
    </row>
    <row r="2" spans="1:9" ht="15.75" thickBot="1" x14ac:dyDescent="0.3">
      <c r="A2" s="350"/>
      <c r="B2" s="338"/>
      <c r="C2" s="338"/>
      <c r="D2" s="338"/>
      <c r="E2" s="338"/>
      <c r="F2" s="338"/>
      <c r="G2" s="338"/>
      <c r="H2" s="338"/>
      <c r="I2" s="351"/>
    </row>
    <row r="3" spans="1:9" ht="16.5" thickBot="1" x14ac:dyDescent="0.3">
      <c r="A3" s="339"/>
      <c r="B3" s="341" t="s">
        <v>0</v>
      </c>
      <c r="C3" s="1" t="s">
        <v>1</v>
      </c>
      <c r="D3" s="352" t="s">
        <v>63</v>
      </c>
      <c r="E3" s="353"/>
      <c r="F3" s="344" t="s">
        <v>2</v>
      </c>
      <c r="G3" s="344"/>
      <c r="H3" s="344"/>
      <c r="I3" s="345" t="s">
        <v>3</v>
      </c>
    </row>
    <row r="4" spans="1:9" ht="16.5" thickBot="1" x14ac:dyDescent="0.3">
      <c r="A4" s="340"/>
      <c r="B4" s="342"/>
      <c r="C4" s="49" t="s">
        <v>4</v>
      </c>
      <c r="D4" s="3">
        <v>1</v>
      </c>
      <c r="E4" s="4">
        <v>2</v>
      </c>
      <c r="F4" s="5">
        <v>0</v>
      </c>
      <c r="G4" s="6">
        <v>1</v>
      </c>
      <c r="H4" s="130">
        <v>2</v>
      </c>
      <c r="I4" s="346"/>
    </row>
    <row r="5" spans="1:9" ht="18" x14ac:dyDescent="0.25">
      <c r="A5" s="131">
        <v>1</v>
      </c>
      <c r="B5" s="132" t="s">
        <v>73</v>
      </c>
      <c r="C5" s="133">
        <v>12.5</v>
      </c>
      <c r="D5" s="141">
        <v>4</v>
      </c>
      <c r="E5" s="135">
        <v>10</v>
      </c>
      <c r="F5" s="133">
        <v>2.5</v>
      </c>
      <c r="G5" s="134">
        <f>14+4.2+2</f>
        <v>20.2</v>
      </c>
      <c r="H5" s="146">
        <f>10.5+2</f>
        <v>12.5</v>
      </c>
      <c r="I5" s="136">
        <f t="shared" ref="I5:I43" si="0">SUM(F5:H5)</f>
        <v>35.200000000000003</v>
      </c>
    </row>
    <row r="6" spans="1:9" ht="18" x14ac:dyDescent="0.25">
      <c r="A6" s="54">
        <v>2</v>
      </c>
      <c r="B6" s="70" t="s">
        <v>72</v>
      </c>
      <c r="C6" s="87" t="s">
        <v>5</v>
      </c>
      <c r="D6" s="142">
        <v>2</v>
      </c>
      <c r="E6" s="92">
        <v>7</v>
      </c>
      <c r="F6" s="87"/>
      <c r="G6" s="91">
        <f>16+0.7+2.5</f>
        <v>19.2</v>
      </c>
      <c r="H6" s="98">
        <f>12+2.1</f>
        <v>14.1</v>
      </c>
      <c r="I6" s="89">
        <f t="shared" si="0"/>
        <v>33.299999999999997</v>
      </c>
    </row>
    <row r="7" spans="1:9" ht="18" x14ac:dyDescent="0.25">
      <c r="A7" s="54">
        <v>3</v>
      </c>
      <c r="B7" s="43" t="s">
        <v>74</v>
      </c>
      <c r="C7" s="125"/>
      <c r="D7" s="142">
        <v>3</v>
      </c>
      <c r="E7" s="92">
        <v>2</v>
      </c>
      <c r="F7" s="87"/>
      <c r="G7" s="91">
        <f>15+0.7</f>
        <v>15.7</v>
      </c>
      <c r="H7" s="98">
        <f>16+1.4</f>
        <v>17.399999999999999</v>
      </c>
      <c r="I7" s="89">
        <f t="shared" si="0"/>
        <v>33.099999999999994</v>
      </c>
    </row>
    <row r="8" spans="1:9" ht="18" x14ac:dyDescent="0.25">
      <c r="A8" s="54">
        <v>4</v>
      </c>
      <c r="B8" s="77" t="s">
        <v>143</v>
      </c>
      <c r="C8" s="87">
        <v>20</v>
      </c>
      <c r="D8" s="142">
        <v>9</v>
      </c>
      <c r="E8" s="92">
        <v>5</v>
      </c>
      <c r="F8" s="87">
        <v>1.5</v>
      </c>
      <c r="G8" s="91">
        <f>11+1.5</f>
        <v>12.5</v>
      </c>
      <c r="H8" s="98">
        <f>13+2.1+2.5</f>
        <v>17.600000000000001</v>
      </c>
      <c r="I8" s="89">
        <f t="shared" si="0"/>
        <v>31.6</v>
      </c>
    </row>
    <row r="9" spans="1:9" ht="18" x14ac:dyDescent="0.25">
      <c r="A9" s="54">
        <v>5</v>
      </c>
      <c r="B9" s="43" t="s">
        <v>80</v>
      </c>
      <c r="C9" s="87" t="s">
        <v>5</v>
      </c>
      <c r="D9" s="129">
        <v>2</v>
      </c>
      <c r="E9" s="145">
        <v>1</v>
      </c>
      <c r="F9" s="125"/>
      <c r="G9" s="140">
        <f>10.5+3</f>
        <v>13.5</v>
      </c>
      <c r="H9" s="137">
        <v>17</v>
      </c>
      <c r="I9" s="89">
        <f t="shared" si="0"/>
        <v>30.5</v>
      </c>
    </row>
    <row r="10" spans="1:9" ht="18" x14ac:dyDescent="0.25">
      <c r="A10" s="54">
        <v>6</v>
      </c>
      <c r="B10" s="73" t="s">
        <v>97</v>
      </c>
      <c r="C10" s="87"/>
      <c r="D10" s="143">
        <v>1</v>
      </c>
      <c r="E10" s="95">
        <v>9</v>
      </c>
      <c r="F10" s="90"/>
      <c r="G10" s="94">
        <f>17+0.5</f>
        <v>17.5</v>
      </c>
      <c r="H10" s="144">
        <f>11+1.5</f>
        <v>12.5</v>
      </c>
      <c r="I10" s="89">
        <f t="shared" si="0"/>
        <v>30</v>
      </c>
    </row>
    <row r="11" spans="1:9" ht="18" x14ac:dyDescent="0.25">
      <c r="A11" s="54">
        <v>7</v>
      </c>
      <c r="B11" s="70" t="s">
        <v>76</v>
      </c>
      <c r="C11" s="87">
        <v>15</v>
      </c>
      <c r="D11" s="143">
        <v>5</v>
      </c>
      <c r="E11" s="95">
        <v>6</v>
      </c>
      <c r="F11" s="90">
        <v>2</v>
      </c>
      <c r="G11" s="94">
        <f>13+2.8-3+1</f>
        <v>13.8</v>
      </c>
      <c r="H11" s="144">
        <f>12.5+0.7+1</f>
        <v>14.2</v>
      </c>
      <c r="I11" s="89">
        <f t="shared" si="0"/>
        <v>30</v>
      </c>
    </row>
    <row r="12" spans="1:9" ht="18" x14ac:dyDescent="0.25">
      <c r="A12" s="54">
        <v>8</v>
      </c>
      <c r="B12" s="43" t="s">
        <v>77</v>
      </c>
      <c r="C12" s="90" t="s">
        <v>5</v>
      </c>
      <c r="D12" s="142">
        <v>6</v>
      </c>
      <c r="E12" s="92">
        <v>3</v>
      </c>
      <c r="F12" s="87">
        <v>0.5</v>
      </c>
      <c r="G12" s="91">
        <f>12.5</f>
        <v>12.5</v>
      </c>
      <c r="H12" s="98">
        <f>15+1.4-2</f>
        <v>14.399999999999999</v>
      </c>
      <c r="I12" s="89">
        <f t="shared" si="0"/>
        <v>27.4</v>
      </c>
    </row>
    <row r="13" spans="1:9" ht="18" x14ac:dyDescent="0.25">
      <c r="A13" s="54">
        <v>9</v>
      </c>
      <c r="B13" s="43" t="s">
        <v>131</v>
      </c>
      <c r="C13" s="87" t="s">
        <v>5</v>
      </c>
      <c r="D13" s="138">
        <v>8</v>
      </c>
      <c r="E13" s="149">
        <v>4</v>
      </c>
      <c r="F13" s="150">
        <v>1</v>
      </c>
      <c r="G13" s="151">
        <f>11.5</f>
        <v>11.5</v>
      </c>
      <c r="H13" s="152">
        <v>14</v>
      </c>
      <c r="I13" s="89">
        <f t="shared" si="0"/>
        <v>26.5</v>
      </c>
    </row>
    <row r="14" spans="1:9" ht="18" x14ac:dyDescent="0.25">
      <c r="A14" s="54">
        <v>10</v>
      </c>
      <c r="B14" s="43" t="s">
        <v>145</v>
      </c>
      <c r="C14" s="122"/>
      <c r="D14" s="138">
        <v>8</v>
      </c>
      <c r="E14" s="149">
        <v>1</v>
      </c>
      <c r="F14" s="150"/>
      <c r="G14" s="151">
        <f>6+1</f>
        <v>7</v>
      </c>
      <c r="H14" s="152">
        <f>11.5+0.5</f>
        <v>12</v>
      </c>
      <c r="I14" s="89">
        <f t="shared" si="0"/>
        <v>19</v>
      </c>
    </row>
    <row r="15" spans="1:9" ht="18" x14ac:dyDescent="0.25">
      <c r="A15" s="54">
        <v>11</v>
      </c>
      <c r="B15" s="70" t="s">
        <v>70</v>
      </c>
      <c r="C15" s="87" t="s">
        <v>5</v>
      </c>
      <c r="D15" s="142">
        <v>1</v>
      </c>
      <c r="E15" s="92">
        <v>3</v>
      </c>
      <c r="F15" s="87"/>
      <c r="G15" s="91">
        <f>11.5+3-7</f>
        <v>7.5</v>
      </c>
      <c r="H15" s="98">
        <f>9.5+1.5</f>
        <v>11</v>
      </c>
      <c r="I15" s="89">
        <f t="shared" si="0"/>
        <v>18.5</v>
      </c>
    </row>
    <row r="16" spans="1:9" ht="18" x14ac:dyDescent="0.25">
      <c r="A16" s="54">
        <v>12</v>
      </c>
      <c r="B16" s="70" t="s">
        <v>132</v>
      </c>
      <c r="C16" s="90" t="s">
        <v>5</v>
      </c>
      <c r="D16" s="142">
        <v>10</v>
      </c>
      <c r="E16" s="92">
        <v>2</v>
      </c>
      <c r="F16" s="87"/>
      <c r="G16" s="91">
        <f>10.5</f>
        <v>10.5</v>
      </c>
      <c r="H16" s="98">
        <f>5+2.5</f>
        <v>7.5</v>
      </c>
      <c r="I16" s="89">
        <f t="shared" si="0"/>
        <v>18</v>
      </c>
    </row>
    <row r="17" spans="1:9" ht="18" x14ac:dyDescent="0.25">
      <c r="A17" s="54">
        <v>13</v>
      </c>
      <c r="B17" s="70" t="s">
        <v>84</v>
      </c>
      <c r="C17" s="122"/>
      <c r="D17" s="142">
        <v>7</v>
      </c>
      <c r="E17" s="92">
        <v>6</v>
      </c>
      <c r="F17" s="87"/>
      <c r="G17" s="91">
        <f>12</f>
        <v>12</v>
      </c>
      <c r="H17" s="98">
        <f>7+0.7-3</f>
        <v>4.7</v>
      </c>
      <c r="I17" s="89">
        <f t="shared" si="0"/>
        <v>16.7</v>
      </c>
    </row>
    <row r="18" spans="1:9" ht="18" x14ac:dyDescent="0.25">
      <c r="A18" s="54">
        <v>14</v>
      </c>
      <c r="B18" s="43" t="s">
        <v>15</v>
      </c>
      <c r="C18" s="87"/>
      <c r="D18" s="138">
        <v>4</v>
      </c>
      <c r="E18" s="149">
        <v>8</v>
      </c>
      <c r="F18" s="122"/>
      <c r="G18" s="151">
        <f>8.5</f>
        <v>8.5</v>
      </c>
      <c r="H18" s="152">
        <f>6</f>
        <v>6</v>
      </c>
      <c r="I18" s="89">
        <f t="shared" si="0"/>
        <v>14.5</v>
      </c>
    </row>
    <row r="19" spans="1:9" ht="18" x14ac:dyDescent="0.25">
      <c r="A19" s="54">
        <v>15</v>
      </c>
      <c r="B19" s="124" t="s">
        <v>116</v>
      </c>
      <c r="C19" s="87" t="s">
        <v>5</v>
      </c>
      <c r="D19" s="142">
        <v>6</v>
      </c>
      <c r="E19" s="92">
        <v>10</v>
      </c>
      <c r="F19" s="87"/>
      <c r="G19" s="91">
        <f>7+1.5</f>
        <v>8.5</v>
      </c>
      <c r="H19" s="98">
        <v>5</v>
      </c>
      <c r="I19" s="89">
        <f t="shared" si="0"/>
        <v>13.5</v>
      </c>
    </row>
    <row r="20" spans="1:9" ht="18" x14ac:dyDescent="0.25">
      <c r="A20" s="54">
        <v>16</v>
      </c>
      <c r="B20" s="43" t="s">
        <v>157</v>
      </c>
      <c r="C20" s="87"/>
      <c r="D20" s="142">
        <v>7</v>
      </c>
      <c r="E20" s="92">
        <v>8</v>
      </c>
      <c r="F20" s="87"/>
      <c r="G20" s="91">
        <f>6.5-5</f>
        <v>1.5</v>
      </c>
      <c r="H20" s="98">
        <f>11.5</f>
        <v>11.5</v>
      </c>
      <c r="I20" s="89">
        <f t="shared" si="0"/>
        <v>13</v>
      </c>
    </row>
    <row r="21" spans="1:9" ht="18" x14ac:dyDescent="0.25">
      <c r="A21" s="54">
        <v>17</v>
      </c>
      <c r="B21" s="72" t="s">
        <v>123</v>
      </c>
      <c r="C21" s="87"/>
      <c r="D21" s="142">
        <v>3</v>
      </c>
      <c r="E21" s="92">
        <v>4</v>
      </c>
      <c r="F21" s="87"/>
      <c r="G21" s="91">
        <f>9.5-4-5</f>
        <v>0.5</v>
      </c>
      <c r="H21" s="98">
        <f>8.5+2.5+0.5</f>
        <v>11.5</v>
      </c>
      <c r="I21" s="89">
        <f t="shared" si="0"/>
        <v>12</v>
      </c>
    </row>
    <row r="22" spans="1:9" ht="18" x14ac:dyDescent="0.25">
      <c r="A22" s="54">
        <v>18</v>
      </c>
      <c r="B22" s="71" t="s">
        <v>154</v>
      </c>
      <c r="C22" s="122"/>
      <c r="D22" s="142">
        <v>4</v>
      </c>
      <c r="E22" s="92">
        <v>5</v>
      </c>
      <c r="F22" s="87"/>
      <c r="G22" s="91">
        <f>3+1.5</f>
        <v>4.5</v>
      </c>
      <c r="H22" s="98">
        <f>7.5</f>
        <v>7.5</v>
      </c>
      <c r="I22" s="89">
        <f t="shared" si="0"/>
        <v>12</v>
      </c>
    </row>
    <row r="23" spans="1:9" ht="18" x14ac:dyDescent="0.25">
      <c r="A23" s="54">
        <v>19</v>
      </c>
      <c r="B23" s="103" t="s">
        <v>99</v>
      </c>
      <c r="C23" s="87">
        <v>22.5</v>
      </c>
      <c r="D23" s="142">
        <v>9</v>
      </c>
      <c r="E23" s="92">
        <v>1</v>
      </c>
      <c r="F23" s="87"/>
      <c r="G23" s="91">
        <f>5.5</f>
        <v>5.5</v>
      </c>
      <c r="H23" s="98">
        <f>6</f>
        <v>6</v>
      </c>
      <c r="I23" s="89">
        <f t="shared" si="0"/>
        <v>11.5</v>
      </c>
    </row>
    <row r="24" spans="1:9" ht="18" x14ac:dyDescent="0.25">
      <c r="A24" s="54">
        <v>20</v>
      </c>
      <c r="B24" s="43" t="s">
        <v>159</v>
      </c>
      <c r="C24" s="87" t="s">
        <v>5</v>
      </c>
      <c r="D24" s="143">
        <v>5</v>
      </c>
      <c r="E24" s="95">
        <v>6</v>
      </c>
      <c r="F24" s="90"/>
      <c r="G24" s="94">
        <f>7.5</f>
        <v>7.5</v>
      </c>
      <c r="H24" s="144">
        <f>1.5+1.5</f>
        <v>3</v>
      </c>
      <c r="I24" s="89">
        <f t="shared" si="0"/>
        <v>10.5</v>
      </c>
    </row>
    <row r="25" spans="1:9" ht="18" x14ac:dyDescent="0.25">
      <c r="A25" s="54">
        <v>21</v>
      </c>
      <c r="B25" s="43" t="s">
        <v>121</v>
      </c>
      <c r="C25" s="87"/>
      <c r="D25" s="138">
        <v>10</v>
      </c>
      <c r="E25" s="149">
        <v>2</v>
      </c>
      <c r="F25" s="150"/>
      <c r="G25" s="151">
        <v>0</v>
      </c>
      <c r="H25" s="152">
        <f>10.5</f>
        <v>10.5</v>
      </c>
      <c r="I25" s="89">
        <f t="shared" si="0"/>
        <v>10.5</v>
      </c>
    </row>
    <row r="26" spans="1:9" ht="18" x14ac:dyDescent="0.25">
      <c r="A26" s="54">
        <v>22</v>
      </c>
      <c r="B26" s="70" t="s">
        <v>115</v>
      </c>
      <c r="C26" s="90" t="s">
        <v>5</v>
      </c>
      <c r="D26" s="142">
        <v>6</v>
      </c>
      <c r="E26" s="92">
        <v>7</v>
      </c>
      <c r="F26" s="87"/>
      <c r="G26" s="91">
        <f>1.5+1.5-3</f>
        <v>0</v>
      </c>
      <c r="H26" s="98">
        <f>6.5+1.5</f>
        <v>8</v>
      </c>
      <c r="I26" s="89">
        <f t="shared" si="0"/>
        <v>8</v>
      </c>
    </row>
    <row r="27" spans="1:9" ht="18" x14ac:dyDescent="0.25">
      <c r="A27" s="54">
        <v>23</v>
      </c>
      <c r="B27" s="43" t="s">
        <v>113</v>
      </c>
      <c r="C27" s="87">
        <v>5</v>
      </c>
      <c r="D27" s="142">
        <v>1</v>
      </c>
      <c r="E27" s="92">
        <v>5</v>
      </c>
      <c r="F27" s="87"/>
      <c r="G27" s="91">
        <v>6</v>
      </c>
      <c r="H27" s="98">
        <v>2</v>
      </c>
      <c r="I27" s="89">
        <f t="shared" si="0"/>
        <v>8</v>
      </c>
    </row>
    <row r="28" spans="1:9" ht="18" x14ac:dyDescent="0.25">
      <c r="A28" s="54">
        <v>24</v>
      </c>
      <c r="B28" s="70" t="s">
        <v>155</v>
      </c>
      <c r="C28" s="90"/>
      <c r="D28" s="142">
        <v>10</v>
      </c>
      <c r="E28" s="92">
        <v>9</v>
      </c>
      <c r="F28" s="87"/>
      <c r="G28" s="91">
        <v>5</v>
      </c>
      <c r="H28" s="98">
        <v>0</v>
      </c>
      <c r="I28" s="89">
        <f t="shared" si="0"/>
        <v>5</v>
      </c>
    </row>
    <row r="29" spans="1:9" ht="18" x14ac:dyDescent="0.25">
      <c r="A29" s="54">
        <v>25</v>
      </c>
      <c r="B29" s="103" t="s">
        <v>110</v>
      </c>
      <c r="C29" s="87">
        <v>7.5</v>
      </c>
      <c r="D29" s="138">
        <v>3</v>
      </c>
      <c r="E29" s="149">
        <v>8</v>
      </c>
      <c r="F29" s="150"/>
      <c r="G29" s="151">
        <f>4+0.5</f>
        <v>4.5</v>
      </c>
      <c r="H29" s="152">
        <v>0.5</v>
      </c>
      <c r="I29" s="89">
        <f t="shared" si="0"/>
        <v>5</v>
      </c>
    </row>
    <row r="30" spans="1:9" ht="18" x14ac:dyDescent="0.25">
      <c r="A30" s="54">
        <v>26</v>
      </c>
      <c r="B30" s="70" t="s">
        <v>104</v>
      </c>
      <c r="C30" s="87"/>
      <c r="D30" s="143">
        <v>2</v>
      </c>
      <c r="E30" s="95">
        <v>3</v>
      </c>
      <c r="F30" s="90"/>
      <c r="G30" s="94">
        <v>5</v>
      </c>
      <c r="H30" s="144">
        <f>4-5-3</f>
        <v>-4</v>
      </c>
      <c r="I30" s="89">
        <f t="shared" si="0"/>
        <v>1</v>
      </c>
    </row>
    <row r="31" spans="1:9" ht="18" x14ac:dyDescent="0.25">
      <c r="A31" s="54">
        <v>27</v>
      </c>
      <c r="B31" s="70" t="s">
        <v>88</v>
      </c>
      <c r="C31" s="122"/>
      <c r="D31" s="142">
        <v>7</v>
      </c>
      <c r="E31" s="92">
        <v>10</v>
      </c>
      <c r="F31" s="87"/>
      <c r="G31" s="91">
        <v>1</v>
      </c>
      <c r="H31" s="98">
        <v>0</v>
      </c>
      <c r="I31" s="89">
        <f t="shared" si="0"/>
        <v>1</v>
      </c>
    </row>
    <row r="32" spans="1:9" ht="18" x14ac:dyDescent="0.25">
      <c r="A32" s="54">
        <v>28</v>
      </c>
      <c r="B32" s="103" t="s">
        <v>158</v>
      </c>
      <c r="C32" s="90" t="s">
        <v>5</v>
      </c>
      <c r="D32" s="129">
        <v>8</v>
      </c>
      <c r="E32" s="145">
        <v>9</v>
      </c>
      <c r="F32" s="125"/>
      <c r="G32" s="140">
        <f>0.5-2</f>
        <v>-1.5</v>
      </c>
      <c r="H32" s="137">
        <f>5.5-3</f>
        <v>2.5</v>
      </c>
      <c r="I32" s="89">
        <f t="shared" si="0"/>
        <v>1</v>
      </c>
    </row>
    <row r="33" spans="1:9" ht="18" x14ac:dyDescent="0.25">
      <c r="A33" s="54">
        <v>29</v>
      </c>
      <c r="B33" s="121" t="s">
        <v>147</v>
      </c>
      <c r="C33" s="87" t="s">
        <v>5</v>
      </c>
      <c r="D33" s="142">
        <v>9</v>
      </c>
      <c r="E33" s="92">
        <v>7</v>
      </c>
      <c r="F33" s="87"/>
      <c r="G33" s="91">
        <v>0</v>
      </c>
      <c r="H33" s="98">
        <f>1+0.5-2</f>
        <v>-0.5</v>
      </c>
      <c r="I33" s="89">
        <f t="shared" si="0"/>
        <v>-0.5</v>
      </c>
    </row>
    <row r="34" spans="1:9" ht="18" x14ac:dyDescent="0.25">
      <c r="A34" s="54">
        <v>30</v>
      </c>
      <c r="B34" s="43" t="s">
        <v>156</v>
      </c>
      <c r="C34" s="109">
        <v>7.5</v>
      </c>
      <c r="D34" s="155">
        <v>5</v>
      </c>
      <c r="E34" s="107">
        <v>4</v>
      </c>
      <c r="F34" s="109"/>
      <c r="G34" s="105">
        <v>2</v>
      </c>
      <c r="H34" s="156">
        <f>3-5-2</f>
        <v>-4</v>
      </c>
      <c r="I34" s="89">
        <f t="shared" si="0"/>
        <v>-2</v>
      </c>
    </row>
    <row r="35" spans="1:9" ht="18" x14ac:dyDescent="0.25">
      <c r="A35" s="54">
        <v>31</v>
      </c>
      <c r="B35" s="71" t="s">
        <v>148</v>
      </c>
      <c r="C35" s="87"/>
      <c r="D35" s="142"/>
      <c r="E35" s="92"/>
      <c r="F35" s="87"/>
      <c r="G35" s="91"/>
      <c r="H35" s="98"/>
      <c r="I35" s="89">
        <f t="shared" si="0"/>
        <v>0</v>
      </c>
    </row>
    <row r="36" spans="1:9" ht="18" x14ac:dyDescent="0.25">
      <c r="A36" s="56">
        <v>32</v>
      </c>
      <c r="B36" s="103" t="s">
        <v>152</v>
      </c>
      <c r="C36" s="87">
        <v>5</v>
      </c>
      <c r="D36" s="142"/>
      <c r="E36" s="92"/>
      <c r="F36" s="87"/>
      <c r="G36" s="91"/>
      <c r="H36" s="98"/>
      <c r="I36" s="89">
        <f t="shared" si="0"/>
        <v>0</v>
      </c>
    </row>
    <row r="37" spans="1:9" ht="21" customHeight="1" x14ac:dyDescent="0.25">
      <c r="A37" s="123">
        <v>33</v>
      </c>
      <c r="B37" s="43" t="s">
        <v>144</v>
      </c>
      <c r="C37" s="125"/>
      <c r="D37" s="142"/>
      <c r="E37" s="92"/>
      <c r="F37" s="87"/>
      <c r="G37" s="91"/>
      <c r="H37" s="98"/>
      <c r="I37" s="89">
        <f t="shared" si="0"/>
        <v>0</v>
      </c>
    </row>
    <row r="38" spans="1:9" ht="18" x14ac:dyDescent="0.25">
      <c r="A38" s="128">
        <v>34</v>
      </c>
      <c r="B38" s="148" t="s">
        <v>151</v>
      </c>
      <c r="C38" s="90">
        <v>12.5</v>
      </c>
      <c r="D38" s="142"/>
      <c r="E38" s="92"/>
      <c r="F38" s="87"/>
      <c r="G38" s="91"/>
      <c r="H38" s="98"/>
      <c r="I38" s="89">
        <f t="shared" si="0"/>
        <v>0</v>
      </c>
    </row>
    <row r="39" spans="1:9" ht="18" x14ac:dyDescent="0.25">
      <c r="A39" s="139">
        <v>35</v>
      </c>
      <c r="B39" s="71" t="s">
        <v>106</v>
      </c>
      <c r="C39" s="87" t="s">
        <v>5</v>
      </c>
      <c r="D39" s="143"/>
      <c r="E39" s="95"/>
      <c r="F39" s="90"/>
      <c r="G39" s="94"/>
      <c r="H39" s="144"/>
      <c r="I39" s="89">
        <f t="shared" si="0"/>
        <v>0</v>
      </c>
    </row>
    <row r="40" spans="1:9" ht="18" x14ac:dyDescent="0.25">
      <c r="A40" s="103">
        <v>36</v>
      </c>
      <c r="B40" s="70" t="s">
        <v>153</v>
      </c>
      <c r="C40" s="87">
        <v>12.5</v>
      </c>
      <c r="D40" s="143"/>
      <c r="E40" s="95"/>
      <c r="F40" s="90"/>
      <c r="G40" s="94"/>
      <c r="H40" s="144"/>
      <c r="I40" s="89">
        <f t="shared" si="0"/>
        <v>0</v>
      </c>
    </row>
    <row r="41" spans="1:9" ht="18" x14ac:dyDescent="0.25">
      <c r="A41" s="103">
        <v>37</v>
      </c>
      <c r="B41" s="77" t="s">
        <v>146</v>
      </c>
      <c r="C41" s="87">
        <v>5</v>
      </c>
      <c r="D41" s="142"/>
      <c r="E41" s="92"/>
      <c r="F41" s="87"/>
      <c r="G41" s="91"/>
      <c r="H41" s="98"/>
      <c r="I41" s="89">
        <f t="shared" si="0"/>
        <v>0</v>
      </c>
    </row>
    <row r="42" spans="1:9" ht="18" x14ac:dyDescent="0.25">
      <c r="A42" s="103">
        <v>38</v>
      </c>
      <c r="B42" s="43" t="s">
        <v>149</v>
      </c>
      <c r="C42" s="90"/>
      <c r="D42" s="143"/>
      <c r="E42" s="95"/>
      <c r="F42" s="90"/>
      <c r="G42" s="94"/>
      <c r="H42" s="144"/>
      <c r="I42" s="89">
        <f t="shared" si="0"/>
        <v>0</v>
      </c>
    </row>
    <row r="43" spans="1:9" ht="18.75" thickBot="1" x14ac:dyDescent="0.3">
      <c r="A43" s="120">
        <v>39</v>
      </c>
      <c r="B43" s="120" t="s">
        <v>150</v>
      </c>
      <c r="C43" s="147"/>
      <c r="D43" s="153"/>
      <c r="E43" s="116"/>
      <c r="F43" s="154"/>
      <c r="G43" s="115"/>
      <c r="H43" s="101"/>
      <c r="I43" s="89">
        <f t="shared" si="0"/>
        <v>0</v>
      </c>
    </row>
    <row r="44" spans="1:9" ht="18" x14ac:dyDescent="0.25">
      <c r="A44" s="126"/>
      <c r="B44" s="126"/>
      <c r="C44" s="126"/>
      <c r="D44" s="126"/>
      <c r="E44" s="126"/>
      <c r="F44" s="126"/>
      <c r="G44" s="126"/>
      <c r="H44" s="126"/>
      <c r="I44" s="126"/>
    </row>
    <row r="45" spans="1:9" ht="18" x14ac:dyDescent="0.25">
      <c r="A45" s="126"/>
      <c r="B45" s="126"/>
      <c r="C45" s="126"/>
      <c r="D45" s="126"/>
      <c r="E45" s="126"/>
      <c r="F45" s="126"/>
      <c r="G45" s="126"/>
      <c r="H45" s="126"/>
      <c r="I45" s="126"/>
    </row>
    <row r="46" spans="1:9" ht="18" x14ac:dyDescent="0.25">
      <c r="A46" s="126"/>
      <c r="B46" s="126"/>
      <c r="C46" s="126"/>
      <c r="D46" s="126"/>
      <c r="E46" s="126"/>
      <c r="F46" s="126"/>
      <c r="G46" s="126"/>
      <c r="H46" s="126"/>
      <c r="I46" s="126"/>
    </row>
    <row r="47" spans="1:9" ht="18" x14ac:dyDescent="0.25">
      <c r="A47" s="126"/>
      <c r="B47" s="126"/>
      <c r="C47" s="126"/>
      <c r="D47" s="126"/>
      <c r="E47" s="126"/>
      <c r="F47" s="126"/>
      <c r="G47" s="126"/>
      <c r="H47" s="126"/>
      <c r="I47" s="126"/>
    </row>
    <row r="48" spans="1:9" ht="18" x14ac:dyDescent="0.25">
      <c r="A48" s="126"/>
      <c r="B48" s="126"/>
      <c r="C48" s="126"/>
      <c r="D48" s="126"/>
      <c r="E48" s="126"/>
      <c r="F48" s="126"/>
      <c r="G48" s="126"/>
      <c r="H48" s="126"/>
      <c r="I48" s="126"/>
    </row>
    <row r="49" spans="1:9" x14ac:dyDescent="0.25">
      <c r="A49" s="127"/>
      <c r="B49" s="127"/>
      <c r="C49" s="127"/>
      <c r="D49" s="127"/>
      <c r="E49" s="127"/>
      <c r="F49" s="127"/>
      <c r="G49" s="127"/>
      <c r="H49" s="127"/>
      <c r="I49" s="127"/>
    </row>
  </sheetData>
  <sortState ref="B33:I34">
    <sortCondition descending="1" ref="I33:I34"/>
  </sortState>
  <mergeCells count="6">
    <mergeCell ref="A1:I2"/>
    <mergeCell ref="A3:A4"/>
    <mergeCell ref="B3:B4"/>
    <mergeCell ref="D3:E3"/>
    <mergeCell ref="F3:H3"/>
    <mergeCell ref="I3:I4"/>
  </mergeCells>
  <pageMargins left="0.70866141732283472" right="0.70866141732283472" top="0.74803149606299213" bottom="0.74803149606299213" header="0.31496062992125984" footer="0.31496062992125984"/>
  <pageSetup paperSize="9" scale="69" orientation="portrait" horizontalDpi="0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9"/>
  <sheetViews>
    <sheetView zoomScale="60" zoomScaleNormal="60" workbookViewId="0">
      <selection activeCell="A33" sqref="A33:XFD44"/>
    </sheetView>
  </sheetViews>
  <sheetFormatPr defaultRowHeight="15" x14ac:dyDescent="0.25"/>
  <cols>
    <col min="1" max="1" width="5.140625" customWidth="1"/>
    <col min="2" max="2" width="57.85546875" customWidth="1"/>
    <col min="3" max="3" width="7.7109375" customWidth="1"/>
  </cols>
  <sheetData>
    <row r="1" spans="1:9" x14ac:dyDescent="0.25">
      <c r="A1" s="347" t="s">
        <v>142</v>
      </c>
      <c r="B1" s="348"/>
      <c r="C1" s="348"/>
      <c r="D1" s="348"/>
      <c r="E1" s="348"/>
      <c r="F1" s="348"/>
      <c r="G1" s="348"/>
      <c r="H1" s="348"/>
      <c r="I1" s="349"/>
    </row>
    <row r="2" spans="1:9" ht="15.75" thickBot="1" x14ac:dyDescent="0.3">
      <c r="A2" s="350"/>
      <c r="B2" s="338"/>
      <c r="C2" s="338"/>
      <c r="D2" s="338"/>
      <c r="E2" s="338"/>
      <c r="F2" s="338"/>
      <c r="G2" s="338"/>
      <c r="H2" s="338"/>
      <c r="I2" s="351"/>
    </row>
    <row r="3" spans="1:9" ht="16.5" thickBot="1" x14ac:dyDescent="0.3">
      <c r="A3" s="339"/>
      <c r="B3" s="341" t="s">
        <v>0</v>
      </c>
      <c r="C3" s="1" t="s">
        <v>1</v>
      </c>
      <c r="D3" s="352" t="s">
        <v>63</v>
      </c>
      <c r="E3" s="353"/>
      <c r="F3" s="344" t="s">
        <v>2</v>
      </c>
      <c r="G3" s="344"/>
      <c r="H3" s="344"/>
      <c r="I3" s="345" t="s">
        <v>3</v>
      </c>
    </row>
    <row r="4" spans="1:9" ht="16.5" thickBot="1" x14ac:dyDescent="0.3">
      <c r="A4" s="340"/>
      <c r="B4" s="342"/>
      <c r="C4" s="49" t="s">
        <v>4</v>
      </c>
      <c r="D4" s="3">
        <v>1</v>
      </c>
      <c r="E4" s="4">
        <v>2</v>
      </c>
      <c r="F4" s="5">
        <v>0</v>
      </c>
      <c r="G4" s="6">
        <v>1</v>
      </c>
      <c r="H4" s="130">
        <v>2</v>
      </c>
      <c r="I4" s="346"/>
    </row>
    <row r="5" spans="1:9" ht="18" x14ac:dyDescent="0.25">
      <c r="A5" s="131">
        <v>1</v>
      </c>
      <c r="B5" s="70" t="s">
        <v>68</v>
      </c>
      <c r="C5" s="133" t="s">
        <v>5</v>
      </c>
      <c r="D5" s="141">
        <v>2</v>
      </c>
      <c r="E5" s="135">
        <v>5</v>
      </c>
      <c r="F5" s="133"/>
      <c r="G5" s="134">
        <f>16+2.1+1.5</f>
        <v>19.600000000000001</v>
      </c>
      <c r="H5" s="146">
        <f>13+2.1+2</f>
        <v>17.100000000000001</v>
      </c>
      <c r="I5" s="136">
        <f t="shared" ref="I5:I33" si="0">SUM(F5:H5)</f>
        <v>36.700000000000003</v>
      </c>
    </row>
    <row r="6" spans="1:9" ht="18" x14ac:dyDescent="0.25">
      <c r="A6" s="54">
        <v>2</v>
      </c>
      <c r="B6" s="70" t="s">
        <v>165</v>
      </c>
      <c r="C6" s="150" t="s">
        <v>5</v>
      </c>
      <c r="D6" s="142">
        <v>4</v>
      </c>
      <c r="E6" s="92">
        <v>6</v>
      </c>
      <c r="F6" s="87">
        <v>1</v>
      </c>
      <c r="G6" s="91">
        <f>14+2.1+2.5</f>
        <v>18.600000000000001</v>
      </c>
      <c r="H6" s="98">
        <f>12.5+2.8-4+2.5</f>
        <v>13.8</v>
      </c>
      <c r="I6" s="89">
        <f t="shared" si="0"/>
        <v>33.400000000000006</v>
      </c>
    </row>
    <row r="7" spans="1:9" ht="18" x14ac:dyDescent="0.25">
      <c r="A7" s="54">
        <v>3</v>
      </c>
      <c r="B7" s="43" t="s">
        <v>74</v>
      </c>
      <c r="C7" s="90">
        <v>5</v>
      </c>
      <c r="D7" s="142">
        <v>3</v>
      </c>
      <c r="E7" s="92">
        <v>1</v>
      </c>
      <c r="F7" s="87"/>
      <c r="G7" s="91">
        <f>15</f>
        <v>15</v>
      </c>
      <c r="H7" s="98">
        <f>17</f>
        <v>17</v>
      </c>
      <c r="I7" s="89">
        <f t="shared" si="0"/>
        <v>32</v>
      </c>
    </row>
    <row r="8" spans="1:9" ht="18" x14ac:dyDescent="0.25">
      <c r="A8" s="54">
        <v>4</v>
      </c>
      <c r="B8" s="70" t="s">
        <v>70</v>
      </c>
      <c r="C8" s="90">
        <v>12.5</v>
      </c>
      <c r="D8" s="142">
        <v>1</v>
      </c>
      <c r="E8" s="92">
        <v>3</v>
      </c>
      <c r="F8" s="87"/>
      <c r="G8" s="91">
        <f>17+0.7-3</f>
        <v>14.7</v>
      </c>
      <c r="H8" s="98">
        <f>15</f>
        <v>15</v>
      </c>
      <c r="I8" s="89">
        <f t="shared" si="0"/>
        <v>29.7</v>
      </c>
    </row>
    <row r="9" spans="1:9" ht="18" x14ac:dyDescent="0.25">
      <c r="A9" s="54">
        <v>5</v>
      </c>
      <c r="B9" s="43" t="s">
        <v>118</v>
      </c>
      <c r="C9" s="150" t="s">
        <v>5</v>
      </c>
      <c r="D9" s="142">
        <v>9</v>
      </c>
      <c r="E9" s="92">
        <v>2</v>
      </c>
      <c r="F9" s="87"/>
      <c r="G9" s="91">
        <f>11</f>
        <v>11</v>
      </c>
      <c r="H9" s="98">
        <f>16+0.7+1</f>
        <v>17.7</v>
      </c>
      <c r="I9" s="89">
        <f t="shared" si="0"/>
        <v>28.7</v>
      </c>
    </row>
    <row r="10" spans="1:9" ht="18" x14ac:dyDescent="0.25">
      <c r="A10" s="54">
        <v>6</v>
      </c>
      <c r="B10" s="70" t="s">
        <v>132</v>
      </c>
      <c r="C10" s="125" t="s">
        <v>5</v>
      </c>
      <c r="D10" s="129">
        <v>6</v>
      </c>
      <c r="E10" s="145">
        <v>10</v>
      </c>
      <c r="F10" s="125">
        <v>2</v>
      </c>
      <c r="G10" s="140">
        <f>12.5+2.1-3+1</f>
        <v>12.6</v>
      </c>
      <c r="H10" s="137">
        <f>10.5</f>
        <v>10.5</v>
      </c>
      <c r="I10" s="89">
        <f t="shared" si="0"/>
        <v>25.1</v>
      </c>
    </row>
    <row r="11" spans="1:9" ht="18" x14ac:dyDescent="0.25">
      <c r="A11" s="54">
        <v>7</v>
      </c>
      <c r="B11" s="103" t="s">
        <v>164</v>
      </c>
      <c r="C11" s="87" t="s">
        <v>5</v>
      </c>
      <c r="D11" s="142">
        <v>7</v>
      </c>
      <c r="E11" s="92">
        <v>4</v>
      </c>
      <c r="F11" s="87">
        <v>2.5</v>
      </c>
      <c r="G11" s="91">
        <f>12+2.1-5-3+0.5</f>
        <v>6.6</v>
      </c>
      <c r="H11" s="98">
        <f>14+1.4-3+1.5</f>
        <v>13.9</v>
      </c>
      <c r="I11" s="89">
        <f t="shared" si="0"/>
        <v>23</v>
      </c>
    </row>
    <row r="12" spans="1:9" ht="18" x14ac:dyDescent="0.25">
      <c r="A12" s="54">
        <v>8</v>
      </c>
      <c r="B12" s="70" t="s">
        <v>76</v>
      </c>
      <c r="C12" s="87"/>
      <c r="D12" s="142">
        <v>8</v>
      </c>
      <c r="E12" s="92">
        <v>8</v>
      </c>
      <c r="F12" s="87">
        <v>1.5</v>
      </c>
      <c r="G12" s="91">
        <f>11.5-5+2</f>
        <v>8.5</v>
      </c>
      <c r="H12" s="98">
        <f>11.5+0</f>
        <v>11.5</v>
      </c>
      <c r="I12" s="89">
        <f t="shared" si="0"/>
        <v>21.5</v>
      </c>
    </row>
    <row r="13" spans="1:9" ht="18" x14ac:dyDescent="0.25">
      <c r="A13" s="54">
        <v>9</v>
      </c>
      <c r="B13" s="77" t="s">
        <v>111</v>
      </c>
      <c r="C13" s="87">
        <v>2.5</v>
      </c>
      <c r="D13" s="142">
        <v>6</v>
      </c>
      <c r="E13" s="92">
        <v>2</v>
      </c>
      <c r="F13" s="87"/>
      <c r="G13" s="91">
        <f>7+1.5</f>
        <v>8.5</v>
      </c>
      <c r="H13" s="98">
        <f>10.2+2+0.5</f>
        <v>12.7</v>
      </c>
      <c r="I13" s="89">
        <f t="shared" si="0"/>
        <v>21.2</v>
      </c>
    </row>
    <row r="14" spans="1:9" ht="18" x14ac:dyDescent="0.25">
      <c r="A14" s="54">
        <v>10</v>
      </c>
      <c r="B14" s="103" t="s">
        <v>64</v>
      </c>
      <c r="C14" s="90" t="s">
        <v>5</v>
      </c>
      <c r="D14" s="142">
        <v>1</v>
      </c>
      <c r="E14" s="92">
        <v>6</v>
      </c>
      <c r="F14" s="87"/>
      <c r="G14" s="91">
        <f>11.5+0.5</f>
        <v>12</v>
      </c>
      <c r="H14" s="98">
        <f>7+0.5</f>
        <v>7.5</v>
      </c>
      <c r="I14" s="89">
        <f t="shared" si="0"/>
        <v>19.5</v>
      </c>
    </row>
    <row r="15" spans="1:9" ht="18" x14ac:dyDescent="0.25">
      <c r="A15" s="54">
        <v>11</v>
      </c>
      <c r="B15" s="70" t="s">
        <v>72</v>
      </c>
      <c r="C15" s="87"/>
      <c r="D15" s="138">
        <v>10</v>
      </c>
      <c r="E15" s="149">
        <v>9</v>
      </c>
      <c r="F15" s="150">
        <v>0.5</v>
      </c>
      <c r="G15" s="151">
        <f>10.5</f>
        <v>10.5</v>
      </c>
      <c r="H15" s="152">
        <f>11-3</f>
        <v>8</v>
      </c>
      <c r="I15" s="89">
        <f t="shared" si="0"/>
        <v>19</v>
      </c>
    </row>
    <row r="16" spans="1:9" ht="18" x14ac:dyDescent="0.25">
      <c r="A16" s="54">
        <v>12</v>
      </c>
      <c r="B16" s="43" t="s">
        <v>80</v>
      </c>
      <c r="C16" s="87" t="s">
        <v>5</v>
      </c>
      <c r="D16" s="138">
        <v>13</v>
      </c>
      <c r="E16" s="149">
        <v>7</v>
      </c>
      <c r="F16" s="150"/>
      <c r="G16" s="151">
        <f>13</f>
        <v>13</v>
      </c>
      <c r="H16" s="152">
        <f>12-7</f>
        <v>5</v>
      </c>
      <c r="I16" s="89">
        <f t="shared" si="0"/>
        <v>18</v>
      </c>
    </row>
    <row r="17" spans="1:9" ht="18" x14ac:dyDescent="0.25">
      <c r="A17" s="54">
        <v>13</v>
      </c>
      <c r="B17" s="43" t="s">
        <v>102</v>
      </c>
      <c r="C17" s="90" t="s">
        <v>5</v>
      </c>
      <c r="D17" s="142">
        <v>4</v>
      </c>
      <c r="E17" s="92">
        <v>5</v>
      </c>
      <c r="F17" s="87"/>
      <c r="G17" s="91">
        <f>8.5+0.5</f>
        <v>9</v>
      </c>
      <c r="H17" s="98">
        <f>7.5</f>
        <v>7.5</v>
      </c>
      <c r="I17" s="89">
        <f t="shared" si="0"/>
        <v>16.5</v>
      </c>
    </row>
    <row r="18" spans="1:9" ht="18" x14ac:dyDescent="0.25">
      <c r="A18" s="54">
        <v>14</v>
      </c>
      <c r="B18" s="43" t="s">
        <v>62</v>
      </c>
      <c r="C18" s="87">
        <v>5</v>
      </c>
      <c r="D18" s="143">
        <v>5</v>
      </c>
      <c r="E18" s="95">
        <v>8</v>
      </c>
      <c r="F18" s="90"/>
      <c r="G18" s="94">
        <f>7.5+1.5</f>
        <v>9</v>
      </c>
      <c r="H18" s="144">
        <f>6+0.5</f>
        <v>6.5</v>
      </c>
      <c r="I18" s="89">
        <f t="shared" si="0"/>
        <v>15.5</v>
      </c>
    </row>
    <row r="19" spans="1:9" ht="18" x14ac:dyDescent="0.25">
      <c r="A19" s="54">
        <v>15</v>
      </c>
      <c r="B19" s="70" t="s">
        <v>168</v>
      </c>
      <c r="C19" s="87">
        <v>27.5</v>
      </c>
      <c r="D19" s="142">
        <v>2</v>
      </c>
      <c r="E19" s="92">
        <v>10</v>
      </c>
      <c r="F19" s="87"/>
      <c r="G19" s="91">
        <f>10.5</f>
        <v>10.5</v>
      </c>
      <c r="H19" s="98">
        <f>5</f>
        <v>5</v>
      </c>
      <c r="I19" s="89">
        <f t="shared" si="0"/>
        <v>15.5</v>
      </c>
    </row>
    <row r="20" spans="1:9" ht="18" x14ac:dyDescent="0.25">
      <c r="A20" s="54">
        <v>16</v>
      </c>
      <c r="B20" s="70" t="s">
        <v>161</v>
      </c>
      <c r="C20" s="122"/>
      <c r="D20" s="142">
        <v>9</v>
      </c>
      <c r="E20" s="92">
        <v>6</v>
      </c>
      <c r="F20" s="87"/>
      <c r="G20" s="91">
        <v>0</v>
      </c>
      <c r="H20" s="98">
        <f>15</f>
        <v>15</v>
      </c>
      <c r="I20" s="89">
        <f t="shared" si="0"/>
        <v>15</v>
      </c>
    </row>
    <row r="21" spans="1:9" ht="18" x14ac:dyDescent="0.25">
      <c r="A21" s="54">
        <v>17</v>
      </c>
      <c r="B21" s="70" t="s">
        <v>84</v>
      </c>
      <c r="C21" s="87">
        <v>25</v>
      </c>
      <c r="D21" s="143">
        <v>8</v>
      </c>
      <c r="E21" s="95">
        <v>1</v>
      </c>
      <c r="F21" s="90"/>
      <c r="G21" s="94">
        <f>6-5</f>
        <v>1</v>
      </c>
      <c r="H21" s="144">
        <f>11.5+1.5</f>
        <v>13</v>
      </c>
      <c r="I21" s="89">
        <f t="shared" si="0"/>
        <v>14</v>
      </c>
    </row>
    <row r="22" spans="1:9" ht="18" x14ac:dyDescent="0.25">
      <c r="A22" s="54">
        <v>18</v>
      </c>
      <c r="B22" s="77" t="s">
        <v>15</v>
      </c>
      <c r="C22" s="87">
        <v>7.5</v>
      </c>
      <c r="D22" s="142">
        <v>3</v>
      </c>
      <c r="E22" s="92">
        <v>5</v>
      </c>
      <c r="F22" s="87"/>
      <c r="G22" s="91">
        <f>9.5+0.5</f>
        <v>10</v>
      </c>
      <c r="H22" s="98">
        <f>2+2</f>
        <v>4</v>
      </c>
      <c r="I22" s="89">
        <f t="shared" si="0"/>
        <v>14</v>
      </c>
    </row>
    <row r="23" spans="1:9" ht="18" x14ac:dyDescent="0.25">
      <c r="A23" s="54">
        <v>19</v>
      </c>
      <c r="B23" s="43" t="s">
        <v>169</v>
      </c>
      <c r="C23" s="87"/>
      <c r="D23" s="142">
        <v>9</v>
      </c>
      <c r="E23" s="92">
        <v>7</v>
      </c>
      <c r="F23" s="87"/>
      <c r="G23" s="91">
        <f>5.5+0.5</f>
        <v>6</v>
      </c>
      <c r="H23" s="98">
        <f>6.5+0.5</f>
        <v>7</v>
      </c>
      <c r="I23" s="89">
        <f t="shared" si="0"/>
        <v>13</v>
      </c>
    </row>
    <row r="24" spans="1:9" ht="18" x14ac:dyDescent="0.25">
      <c r="A24" s="54">
        <v>20</v>
      </c>
      <c r="B24" s="124" t="s">
        <v>116</v>
      </c>
      <c r="C24" s="87" t="s">
        <v>5</v>
      </c>
      <c r="D24" s="138">
        <v>2</v>
      </c>
      <c r="E24" s="149">
        <v>4</v>
      </c>
      <c r="F24" s="122"/>
      <c r="G24" s="151">
        <f>5+1.5</f>
        <v>6.5</v>
      </c>
      <c r="H24" s="152">
        <f>3+2</f>
        <v>5</v>
      </c>
      <c r="I24" s="89">
        <f t="shared" si="0"/>
        <v>11.5</v>
      </c>
    </row>
    <row r="25" spans="1:9" ht="18" x14ac:dyDescent="0.25">
      <c r="A25" s="54">
        <v>21</v>
      </c>
      <c r="B25" s="70" t="s">
        <v>88</v>
      </c>
      <c r="C25" s="87" t="s">
        <v>5</v>
      </c>
      <c r="D25" s="142">
        <v>10</v>
      </c>
      <c r="E25" s="92">
        <v>2</v>
      </c>
      <c r="F25" s="87"/>
      <c r="G25" s="91">
        <f>5</f>
        <v>5</v>
      </c>
      <c r="H25" s="98">
        <f>5+1.5</f>
        <v>6.5</v>
      </c>
      <c r="I25" s="89">
        <f t="shared" si="0"/>
        <v>11.5</v>
      </c>
    </row>
    <row r="26" spans="1:9" ht="18" x14ac:dyDescent="0.25">
      <c r="A26" s="54">
        <v>22</v>
      </c>
      <c r="B26" s="43" t="s">
        <v>167</v>
      </c>
      <c r="C26" s="87"/>
      <c r="D26" s="142">
        <v>5</v>
      </c>
      <c r="E26" s="92">
        <v>9</v>
      </c>
      <c r="F26" s="87"/>
      <c r="G26" s="91">
        <f>2+0.5</f>
        <v>2.5</v>
      </c>
      <c r="H26" s="98">
        <f>5.5+0.5</f>
        <v>6</v>
      </c>
      <c r="I26" s="89">
        <f t="shared" si="0"/>
        <v>8.5</v>
      </c>
    </row>
    <row r="27" spans="1:9" ht="18" x14ac:dyDescent="0.25">
      <c r="A27" s="54">
        <v>23</v>
      </c>
      <c r="B27" s="70" t="s">
        <v>160</v>
      </c>
      <c r="C27" s="87" t="s">
        <v>5</v>
      </c>
      <c r="D27" s="143">
        <v>6</v>
      </c>
      <c r="E27" s="95">
        <v>3</v>
      </c>
      <c r="F27" s="90"/>
      <c r="G27" s="94">
        <f>1.5+0.5</f>
        <v>2</v>
      </c>
      <c r="H27" s="144">
        <f>4+2</f>
        <v>6</v>
      </c>
      <c r="I27" s="89">
        <f t="shared" si="0"/>
        <v>8</v>
      </c>
    </row>
    <row r="28" spans="1:9" ht="18" x14ac:dyDescent="0.25">
      <c r="A28" s="54">
        <v>24</v>
      </c>
      <c r="B28" s="43" t="s">
        <v>163</v>
      </c>
      <c r="C28" s="87">
        <v>10</v>
      </c>
      <c r="D28" s="142">
        <v>1</v>
      </c>
      <c r="E28" s="92">
        <v>1</v>
      </c>
      <c r="F28" s="87"/>
      <c r="G28" s="91">
        <f>6+0.5-5</f>
        <v>1.5</v>
      </c>
      <c r="H28" s="98">
        <f>6+0.5</f>
        <v>6.5</v>
      </c>
      <c r="I28" s="89">
        <f t="shared" si="0"/>
        <v>8</v>
      </c>
    </row>
    <row r="29" spans="1:9" ht="18" x14ac:dyDescent="0.25">
      <c r="A29" s="54">
        <v>25</v>
      </c>
      <c r="B29" s="43" t="s">
        <v>121</v>
      </c>
      <c r="C29" s="87" t="s">
        <v>5</v>
      </c>
      <c r="D29" s="129">
        <v>7</v>
      </c>
      <c r="E29" s="145">
        <v>4</v>
      </c>
      <c r="F29" s="125"/>
      <c r="G29" s="140">
        <f>6.5-3</f>
        <v>3.5</v>
      </c>
      <c r="H29" s="137">
        <f>8.5-4</f>
        <v>4.5</v>
      </c>
      <c r="I29" s="89">
        <f t="shared" si="0"/>
        <v>8</v>
      </c>
    </row>
    <row r="30" spans="1:9" ht="18" x14ac:dyDescent="0.25">
      <c r="A30" s="54">
        <v>26</v>
      </c>
      <c r="B30" s="103" t="s">
        <v>99</v>
      </c>
      <c r="C30" s="87">
        <v>15</v>
      </c>
      <c r="D30" s="143">
        <v>4</v>
      </c>
      <c r="E30" s="95">
        <v>3</v>
      </c>
      <c r="F30" s="90"/>
      <c r="G30" s="94">
        <f>3+2.5-5-5</f>
        <v>-4.5</v>
      </c>
      <c r="H30" s="144">
        <f>9.5</f>
        <v>9.5</v>
      </c>
      <c r="I30" s="89">
        <f t="shared" si="0"/>
        <v>5</v>
      </c>
    </row>
    <row r="31" spans="1:9" ht="18" x14ac:dyDescent="0.25">
      <c r="A31" s="54">
        <v>27</v>
      </c>
      <c r="B31" s="43" t="s">
        <v>166</v>
      </c>
      <c r="C31" s="87"/>
      <c r="D31" s="142">
        <v>3</v>
      </c>
      <c r="E31" s="92">
        <v>9</v>
      </c>
      <c r="F31" s="87"/>
      <c r="G31" s="91">
        <f>4</f>
        <v>4</v>
      </c>
      <c r="H31" s="98">
        <f>0</f>
        <v>0</v>
      </c>
      <c r="I31" s="89">
        <f t="shared" si="0"/>
        <v>4</v>
      </c>
    </row>
    <row r="32" spans="1:9" ht="18" x14ac:dyDescent="0.25">
      <c r="A32" s="54">
        <v>28</v>
      </c>
      <c r="B32" s="124" t="s">
        <v>162</v>
      </c>
      <c r="C32" s="87"/>
      <c r="D32" s="138">
        <v>8</v>
      </c>
      <c r="E32" s="149">
        <v>8</v>
      </c>
      <c r="F32" s="150"/>
      <c r="G32" s="151">
        <f>0.5</f>
        <v>0.5</v>
      </c>
      <c r="H32" s="152">
        <v>0.5</v>
      </c>
      <c r="I32" s="89">
        <f t="shared" si="0"/>
        <v>1</v>
      </c>
    </row>
    <row r="33" spans="1:9" ht="18" x14ac:dyDescent="0.25">
      <c r="A33" s="54">
        <v>29</v>
      </c>
      <c r="B33" s="121" t="s">
        <v>113</v>
      </c>
      <c r="C33" s="87">
        <v>5</v>
      </c>
      <c r="D33" s="138">
        <v>7</v>
      </c>
      <c r="E33" s="149">
        <v>7</v>
      </c>
      <c r="F33" s="150"/>
      <c r="G33" s="151">
        <f>1+0.5-4</f>
        <v>-2.5</v>
      </c>
      <c r="H33" s="152">
        <f>1-4</f>
        <v>-3</v>
      </c>
      <c r="I33" s="89">
        <f t="shared" si="0"/>
        <v>-5.5</v>
      </c>
    </row>
    <row r="34" spans="1:9" ht="18" x14ac:dyDescent="0.25">
      <c r="A34" s="54">
        <v>30</v>
      </c>
      <c r="B34" s="43"/>
      <c r="C34" s="109"/>
      <c r="D34" s="155"/>
      <c r="E34" s="107"/>
      <c r="F34" s="109"/>
      <c r="G34" s="105"/>
      <c r="H34" s="156"/>
      <c r="I34" s="89">
        <f t="shared" ref="I34:I43" si="1">SUM(F34:H34)</f>
        <v>0</v>
      </c>
    </row>
    <row r="35" spans="1:9" ht="18" x14ac:dyDescent="0.25">
      <c r="A35" s="54">
        <v>31</v>
      </c>
      <c r="B35" s="71"/>
      <c r="C35" s="87"/>
      <c r="D35" s="142"/>
      <c r="E35" s="92"/>
      <c r="F35" s="87"/>
      <c r="G35" s="91"/>
      <c r="H35" s="98"/>
      <c r="I35" s="89">
        <f t="shared" si="1"/>
        <v>0</v>
      </c>
    </row>
    <row r="36" spans="1:9" ht="18" x14ac:dyDescent="0.25">
      <c r="A36" s="56">
        <v>32</v>
      </c>
      <c r="B36" s="103"/>
      <c r="C36" s="87"/>
      <c r="D36" s="142"/>
      <c r="E36" s="92"/>
      <c r="F36" s="87"/>
      <c r="G36" s="91"/>
      <c r="H36" s="98"/>
      <c r="I36" s="89">
        <f t="shared" si="1"/>
        <v>0</v>
      </c>
    </row>
    <row r="37" spans="1:9" ht="21" customHeight="1" x14ac:dyDescent="0.25">
      <c r="A37" s="123">
        <v>33</v>
      </c>
      <c r="B37" s="43"/>
      <c r="C37" s="125"/>
      <c r="D37" s="142"/>
      <c r="E37" s="92"/>
      <c r="F37" s="87"/>
      <c r="G37" s="91"/>
      <c r="H37" s="98"/>
      <c r="I37" s="89">
        <f t="shared" si="1"/>
        <v>0</v>
      </c>
    </row>
    <row r="38" spans="1:9" ht="18" x14ac:dyDescent="0.25">
      <c r="A38" s="128">
        <v>34</v>
      </c>
      <c r="B38" s="148"/>
      <c r="C38" s="90"/>
      <c r="D38" s="142"/>
      <c r="E38" s="92"/>
      <c r="F38" s="87"/>
      <c r="G38" s="91"/>
      <c r="H38" s="98"/>
      <c r="I38" s="89">
        <f t="shared" si="1"/>
        <v>0</v>
      </c>
    </row>
    <row r="39" spans="1:9" ht="18" x14ac:dyDescent="0.25">
      <c r="A39" s="139">
        <v>35</v>
      </c>
      <c r="B39" s="71"/>
      <c r="C39" s="87"/>
      <c r="D39" s="143"/>
      <c r="E39" s="95"/>
      <c r="F39" s="90"/>
      <c r="G39" s="94"/>
      <c r="H39" s="144"/>
      <c r="I39" s="89">
        <f t="shared" si="1"/>
        <v>0</v>
      </c>
    </row>
    <row r="40" spans="1:9" ht="18" x14ac:dyDescent="0.25">
      <c r="A40" s="103">
        <v>36</v>
      </c>
      <c r="B40" s="70"/>
      <c r="C40" s="87"/>
      <c r="D40" s="143"/>
      <c r="E40" s="95"/>
      <c r="F40" s="90"/>
      <c r="G40" s="94"/>
      <c r="H40" s="144"/>
      <c r="I40" s="89">
        <f t="shared" si="1"/>
        <v>0</v>
      </c>
    </row>
    <row r="41" spans="1:9" ht="18" x14ac:dyDescent="0.25">
      <c r="A41" s="103">
        <v>37</v>
      </c>
      <c r="B41" s="77"/>
      <c r="C41" s="87"/>
      <c r="D41" s="142"/>
      <c r="E41" s="92"/>
      <c r="F41" s="87"/>
      <c r="G41" s="91"/>
      <c r="H41" s="98"/>
      <c r="I41" s="89">
        <f t="shared" si="1"/>
        <v>0</v>
      </c>
    </row>
    <row r="42" spans="1:9" ht="18" x14ac:dyDescent="0.25">
      <c r="A42" s="103">
        <v>38</v>
      </c>
      <c r="B42" s="43"/>
      <c r="C42" s="90"/>
      <c r="D42" s="143"/>
      <c r="E42" s="95"/>
      <c r="F42" s="90"/>
      <c r="G42" s="94"/>
      <c r="H42" s="144"/>
      <c r="I42" s="89">
        <f t="shared" si="1"/>
        <v>0</v>
      </c>
    </row>
    <row r="43" spans="1:9" ht="18.75" thickBot="1" x14ac:dyDescent="0.3">
      <c r="A43" s="120">
        <v>39</v>
      </c>
      <c r="B43" s="120"/>
      <c r="C43" s="147"/>
      <c r="D43" s="153"/>
      <c r="E43" s="116"/>
      <c r="F43" s="154"/>
      <c r="G43" s="115"/>
      <c r="H43" s="101"/>
      <c r="I43" s="89">
        <f t="shared" si="1"/>
        <v>0</v>
      </c>
    </row>
    <row r="44" spans="1:9" ht="18" x14ac:dyDescent="0.25">
      <c r="A44" s="126"/>
      <c r="B44" s="126"/>
      <c r="C44" s="126"/>
      <c r="D44" s="126"/>
      <c r="E44" s="126"/>
      <c r="F44" s="126"/>
      <c r="G44" s="126"/>
      <c r="H44" s="126"/>
      <c r="I44" s="126"/>
    </row>
    <row r="45" spans="1:9" ht="18" x14ac:dyDescent="0.25">
      <c r="A45" s="126"/>
      <c r="B45" s="126"/>
      <c r="C45" s="126"/>
      <c r="D45" s="126"/>
      <c r="E45" s="126"/>
      <c r="F45" s="126"/>
      <c r="G45" s="126"/>
      <c r="H45" s="126"/>
      <c r="I45" s="126"/>
    </row>
    <row r="46" spans="1:9" ht="18" x14ac:dyDescent="0.25">
      <c r="A46" s="126"/>
      <c r="B46" s="126"/>
      <c r="C46" s="126"/>
      <c r="D46" s="126"/>
      <c r="E46" s="126"/>
      <c r="F46" s="126"/>
      <c r="G46" s="126"/>
      <c r="H46" s="126"/>
      <c r="I46" s="126"/>
    </row>
    <row r="47" spans="1:9" ht="18" x14ac:dyDescent="0.25">
      <c r="A47" s="126"/>
      <c r="B47" s="126"/>
      <c r="C47" s="126"/>
      <c r="D47" s="126"/>
      <c r="E47" s="126"/>
      <c r="F47" s="126"/>
      <c r="G47" s="126"/>
      <c r="H47" s="126"/>
      <c r="I47" s="126"/>
    </row>
    <row r="48" spans="1:9" ht="18" x14ac:dyDescent="0.25">
      <c r="A48" s="126"/>
      <c r="B48" s="126"/>
      <c r="C48" s="126"/>
      <c r="D48" s="126"/>
      <c r="E48" s="126"/>
      <c r="F48" s="126"/>
      <c r="G48" s="126"/>
      <c r="H48" s="126"/>
      <c r="I48" s="126"/>
    </row>
    <row r="49" spans="1:9" x14ac:dyDescent="0.25">
      <c r="A49" s="127"/>
      <c r="B49" s="127"/>
      <c r="C49" s="127"/>
      <c r="D49" s="127"/>
      <c r="E49" s="127"/>
      <c r="F49" s="127"/>
      <c r="G49" s="127"/>
      <c r="H49" s="127"/>
      <c r="I49" s="127"/>
    </row>
  </sheetData>
  <sortState ref="B5:I33">
    <sortCondition descending="1" ref="I5:I33"/>
  </sortState>
  <mergeCells count="6">
    <mergeCell ref="A1:I2"/>
    <mergeCell ref="A3:A4"/>
    <mergeCell ref="B3:B4"/>
    <mergeCell ref="D3:E3"/>
    <mergeCell ref="F3:H3"/>
    <mergeCell ref="I3:I4"/>
  </mergeCells>
  <pageMargins left="0.70866141732283472" right="0.70866141732283472" top="0.74803149606299213" bottom="0.74803149606299213" header="0.31496062992125984" footer="0.31496062992125984"/>
  <pageSetup paperSize="9" scale="69" orientation="portrait" horizontalDpi="0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3"/>
  <sheetViews>
    <sheetView zoomScale="60" zoomScaleNormal="60" workbookViewId="0">
      <selection activeCell="A34" sqref="A34:XFD38"/>
    </sheetView>
  </sheetViews>
  <sheetFormatPr defaultRowHeight="15" x14ac:dyDescent="0.25"/>
  <cols>
    <col min="1" max="1" width="5.140625" customWidth="1"/>
    <col min="2" max="2" width="33.28515625" customWidth="1"/>
    <col min="3" max="3" width="7.7109375" customWidth="1"/>
  </cols>
  <sheetData>
    <row r="1" spans="1:9" x14ac:dyDescent="0.25">
      <c r="A1" s="347" t="s">
        <v>177</v>
      </c>
      <c r="B1" s="348"/>
      <c r="C1" s="348"/>
      <c r="D1" s="348"/>
      <c r="E1" s="348"/>
      <c r="F1" s="348"/>
      <c r="G1" s="348"/>
      <c r="H1" s="348"/>
      <c r="I1" s="349"/>
    </row>
    <row r="2" spans="1:9" ht="15.75" thickBot="1" x14ac:dyDescent="0.3">
      <c r="A2" s="350"/>
      <c r="B2" s="338"/>
      <c r="C2" s="338"/>
      <c r="D2" s="338"/>
      <c r="E2" s="338"/>
      <c r="F2" s="338"/>
      <c r="G2" s="338"/>
      <c r="H2" s="338"/>
      <c r="I2" s="351"/>
    </row>
    <row r="3" spans="1:9" ht="16.5" thickBot="1" x14ac:dyDescent="0.3">
      <c r="A3" s="339"/>
      <c r="B3" s="341" t="s">
        <v>0</v>
      </c>
      <c r="C3" s="1" t="s">
        <v>1</v>
      </c>
      <c r="D3" s="352" t="s">
        <v>63</v>
      </c>
      <c r="E3" s="353"/>
      <c r="F3" s="344" t="s">
        <v>2</v>
      </c>
      <c r="G3" s="344"/>
      <c r="H3" s="344"/>
      <c r="I3" s="345" t="s">
        <v>3</v>
      </c>
    </row>
    <row r="4" spans="1:9" ht="16.5" thickBot="1" x14ac:dyDescent="0.3">
      <c r="A4" s="340"/>
      <c r="B4" s="342"/>
      <c r="C4" s="49" t="s">
        <v>4</v>
      </c>
      <c r="D4" s="3">
        <v>1</v>
      </c>
      <c r="E4" s="4">
        <v>2</v>
      </c>
      <c r="F4" s="5">
        <v>0</v>
      </c>
      <c r="G4" s="6">
        <v>1</v>
      </c>
      <c r="H4" s="130">
        <v>2</v>
      </c>
      <c r="I4" s="346"/>
    </row>
    <row r="5" spans="1:9" ht="18" x14ac:dyDescent="0.25">
      <c r="A5" s="131">
        <v>1</v>
      </c>
      <c r="B5" s="157" t="s">
        <v>175</v>
      </c>
      <c r="C5" s="133"/>
      <c r="D5" s="141">
        <v>9</v>
      </c>
      <c r="E5" s="135">
        <v>7</v>
      </c>
      <c r="F5" s="133">
        <v>1</v>
      </c>
      <c r="G5" s="134">
        <f>11+2.5</f>
        <v>13.5</v>
      </c>
      <c r="H5" s="146">
        <f>12+2.1+2.5</f>
        <v>16.600000000000001</v>
      </c>
      <c r="I5" s="136">
        <f t="shared" ref="I5:I34" si="0">SUM(F5:H5)</f>
        <v>31.1</v>
      </c>
    </row>
    <row r="6" spans="1:9" ht="18" x14ac:dyDescent="0.25">
      <c r="A6" s="54">
        <v>2</v>
      </c>
      <c r="B6" s="157" t="s">
        <v>178</v>
      </c>
      <c r="C6" s="87" t="s">
        <v>5</v>
      </c>
      <c r="D6" s="143">
        <v>3</v>
      </c>
      <c r="E6" s="95">
        <v>2</v>
      </c>
      <c r="F6" s="90"/>
      <c r="G6" s="94">
        <f>9.5+3.5</f>
        <v>13</v>
      </c>
      <c r="H6" s="144">
        <f>16+0.7</f>
        <v>16.7</v>
      </c>
      <c r="I6" s="89">
        <f t="shared" si="0"/>
        <v>29.7</v>
      </c>
    </row>
    <row r="7" spans="1:9" ht="18" x14ac:dyDescent="0.25">
      <c r="A7" s="54">
        <v>3</v>
      </c>
      <c r="B7" s="158" t="s">
        <v>184</v>
      </c>
      <c r="C7" s="87">
        <v>10</v>
      </c>
      <c r="D7" s="138">
        <v>10</v>
      </c>
      <c r="E7" s="149">
        <v>4</v>
      </c>
      <c r="F7" s="150">
        <v>2</v>
      </c>
      <c r="G7" s="151">
        <f>10.5+1</f>
        <v>11.5</v>
      </c>
      <c r="H7" s="152">
        <f>14+2.1</f>
        <v>16.100000000000001</v>
      </c>
      <c r="I7" s="89">
        <f t="shared" si="0"/>
        <v>29.6</v>
      </c>
    </row>
    <row r="8" spans="1:9" ht="18" x14ac:dyDescent="0.25">
      <c r="A8" s="54">
        <v>4</v>
      </c>
      <c r="B8" s="77" t="s">
        <v>9</v>
      </c>
      <c r="C8" s="90"/>
      <c r="D8" s="142">
        <v>4</v>
      </c>
      <c r="E8" s="92">
        <v>9</v>
      </c>
      <c r="F8" s="87"/>
      <c r="G8" s="91">
        <f>14+0.7+1.5</f>
        <v>16.2</v>
      </c>
      <c r="H8" s="98">
        <f>11+2</f>
        <v>13</v>
      </c>
      <c r="I8" s="89">
        <f t="shared" si="0"/>
        <v>29.2</v>
      </c>
    </row>
    <row r="9" spans="1:9" ht="18" x14ac:dyDescent="0.25">
      <c r="A9" s="54">
        <v>5</v>
      </c>
      <c r="B9" s="77" t="s">
        <v>25</v>
      </c>
      <c r="C9" s="87">
        <v>20</v>
      </c>
      <c r="D9" s="142">
        <v>6</v>
      </c>
      <c r="E9" s="92">
        <v>5</v>
      </c>
      <c r="F9" s="87">
        <v>1.5</v>
      </c>
      <c r="G9" s="91">
        <f>12.5</f>
        <v>12.5</v>
      </c>
      <c r="H9" s="98">
        <f>13+0.5</f>
        <v>13.5</v>
      </c>
      <c r="I9" s="89">
        <f t="shared" si="0"/>
        <v>27.5</v>
      </c>
    </row>
    <row r="10" spans="1:9" ht="18" x14ac:dyDescent="0.25">
      <c r="A10" s="54">
        <v>6</v>
      </c>
      <c r="B10" s="157" t="s">
        <v>185</v>
      </c>
      <c r="C10" s="87"/>
      <c r="D10" s="138">
        <v>7</v>
      </c>
      <c r="E10" s="149">
        <v>1</v>
      </c>
      <c r="F10" s="150">
        <v>0.5</v>
      </c>
      <c r="G10" s="151">
        <f>12-4-4</f>
        <v>4</v>
      </c>
      <c r="H10" s="152">
        <f>17+0.7</f>
        <v>17.7</v>
      </c>
      <c r="I10" s="89">
        <f t="shared" si="0"/>
        <v>22.2</v>
      </c>
    </row>
    <row r="11" spans="1:9" ht="18" x14ac:dyDescent="0.25">
      <c r="A11" s="54">
        <v>7</v>
      </c>
      <c r="B11" s="157" t="s">
        <v>49</v>
      </c>
      <c r="C11" s="87">
        <v>12</v>
      </c>
      <c r="D11" s="142">
        <v>1</v>
      </c>
      <c r="E11" s="92">
        <v>2</v>
      </c>
      <c r="F11" s="87"/>
      <c r="G11" s="91">
        <f>17+0.7</f>
        <v>17.7</v>
      </c>
      <c r="H11" s="98">
        <f>10.5+3-6-5+1.5</f>
        <v>4</v>
      </c>
      <c r="I11" s="89">
        <f t="shared" si="0"/>
        <v>21.7</v>
      </c>
    </row>
    <row r="12" spans="1:9" ht="18" x14ac:dyDescent="0.25">
      <c r="A12" s="54">
        <v>8</v>
      </c>
      <c r="B12" s="157" t="s">
        <v>28</v>
      </c>
      <c r="C12" s="150"/>
      <c r="D12" s="142">
        <v>8</v>
      </c>
      <c r="E12" s="92">
        <v>3</v>
      </c>
      <c r="F12" s="87"/>
      <c r="G12" s="91">
        <f>11.5</f>
        <v>11.5</v>
      </c>
      <c r="H12" s="98">
        <f>15-5</f>
        <v>10</v>
      </c>
      <c r="I12" s="89">
        <f t="shared" si="0"/>
        <v>21.5</v>
      </c>
    </row>
    <row r="13" spans="1:9" ht="18" x14ac:dyDescent="0.25">
      <c r="A13" s="54">
        <v>9</v>
      </c>
      <c r="B13" s="157" t="s">
        <v>40</v>
      </c>
      <c r="C13" s="125">
        <v>20</v>
      </c>
      <c r="D13" s="142">
        <v>2</v>
      </c>
      <c r="E13" s="92">
        <v>5</v>
      </c>
      <c r="F13" s="87"/>
      <c r="G13" s="91">
        <f>16</f>
        <v>16</v>
      </c>
      <c r="H13" s="98">
        <f>2+2.5</f>
        <v>4.5</v>
      </c>
      <c r="I13" s="89">
        <f t="shared" si="0"/>
        <v>20.5</v>
      </c>
    </row>
    <row r="14" spans="1:9" ht="18" x14ac:dyDescent="0.25">
      <c r="A14" s="54">
        <v>10</v>
      </c>
      <c r="B14" s="77" t="s">
        <v>133</v>
      </c>
      <c r="C14" s="87"/>
      <c r="D14" s="142">
        <v>4</v>
      </c>
      <c r="E14" s="92">
        <v>1</v>
      </c>
      <c r="F14" s="87"/>
      <c r="G14" s="91">
        <f>8.5</f>
        <v>8.5</v>
      </c>
      <c r="H14" s="98">
        <f>11.5+0.5</f>
        <v>12</v>
      </c>
      <c r="I14" s="89">
        <f t="shared" si="0"/>
        <v>20.5</v>
      </c>
    </row>
    <row r="15" spans="1:9" ht="18" x14ac:dyDescent="0.25">
      <c r="A15" s="54">
        <v>11</v>
      </c>
      <c r="B15" s="77" t="s">
        <v>179</v>
      </c>
      <c r="C15" s="87">
        <v>4</v>
      </c>
      <c r="D15" s="142">
        <v>5</v>
      </c>
      <c r="E15" s="92">
        <v>8</v>
      </c>
      <c r="F15" s="87">
        <v>2.5</v>
      </c>
      <c r="G15" s="91">
        <f>13+3.5-4-4-3</f>
        <v>5.5</v>
      </c>
      <c r="H15" s="98">
        <f>11.5</f>
        <v>11.5</v>
      </c>
      <c r="I15" s="89">
        <f t="shared" si="0"/>
        <v>19.5</v>
      </c>
    </row>
    <row r="16" spans="1:9" ht="18" x14ac:dyDescent="0.25">
      <c r="A16" s="54">
        <v>12</v>
      </c>
      <c r="B16" s="77" t="s">
        <v>136</v>
      </c>
      <c r="C16" s="125"/>
      <c r="D16" s="142">
        <v>2</v>
      </c>
      <c r="E16" s="92">
        <v>4</v>
      </c>
      <c r="F16" s="87"/>
      <c r="G16" s="91">
        <f>10.5</f>
        <v>10.5</v>
      </c>
      <c r="H16" s="98">
        <f>8.5</f>
        <v>8.5</v>
      </c>
      <c r="I16" s="89">
        <f t="shared" si="0"/>
        <v>19</v>
      </c>
    </row>
    <row r="17" spans="1:9" ht="18" x14ac:dyDescent="0.25">
      <c r="A17" s="54">
        <v>13</v>
      </c>
      <c r="B17" s="77" t="s">
        <v>27</v>
      </c>
      <c r="C17" s="87" t="s">
        <v>5</v>
      </c>
      <c r="D17" s="143">
        <v>1</v>
      </c>
      <c r="E17" s="95">
        <v>6</v>
      </c>
      <c r="F17" s="90"/>
      <c r="G17" s="94">
        <f>11.5</f>
        <v>11.5</v>
      </c>
      <c r="H17" s="144">
        <f>7</f>
        <v>7</v>
      </c>
      <c r="I17" s="89">
        <f t="shared" si="0"/>
        <v>18.5</v>
      </c>
    </row>
    <row r="18" spans="1:9" ht="18" x14ac:dyDescent="0.25">
      <c r="A18" s="54">
        <v>14</v>
      </c>
      <c r="B18" s="85" t="s">
        <v>42</v>
      </c>
      <c r="C18" s="90" t="s">
        <v>5</v>
      </c>
      <c r="D18" s="138">
        <v>3</v>
      </c>
      <c r="E18" s="149">
        <v>10</v>
      </c>
      <c r="F18" s="150"/>
      <c r="G18" s="151">
        <f>15+0.7</f>
        <v>15.7</v>
      </c>
      <c r="H18" s="152">
        <f>5-3</f>
        <v>2</v>
      </c>
      <c r="I18" s="89">
        <f t="shared" si="0"/>
        <v>17.7</v>
      </c>
    </row>
    <row r="19" spans="1:9" ht="18" x14ac:dyDescent="0.25">
      <c r="A19" s="54">
        <v>15</v>
      </c>
      <c r="B19" s="159" t="s">
        <v>18</v>
      </c>
      <c r="C19" s="90"/>
      <c r="D19" s="142">
        <v>6</v>
      </c>
      <c r="E19" s="92">
        <v>6</v>
      </c>
      <c r="F19" s="87"/>
      <c r="G19" s="91">
        <f>7+2-5+2</f>
        <v>6</v>
      </c>
      <c r="H19" s="98">
        <f>12.5+2.1-4+1</f>
        <v>11.6</v>
      </c>
      <c r="I19" s="89">
        <f t="shared" si="0"/>
        <v>17.600000000000001</v>
      </c>
    </row>
    <row r="20" spans="1:9" ht="18" x14ac:dyDescent="0.25">
      <c r="A20" s="54">
        <v>16</v>
      </c>
      <c r="B20" s="77" t="s">
        <v>180</v>
      </c>
      <c r="C20" s="87">
        <v>7</v>
      </c>
      <c r="D20" s="142">
        <v>5</v>
      </c>
      <c r="E20" s="92">
        <v>10</v>
      </c>
      <c r="F20" s="87"/>
      <c r="G20" s="91">
        <f>7.5+1-7+0.5</f>
        <v>2</v>
      </c>
      <c r="H20" s="98">
        <f>10.5</f>
        <v>10.5</v>
      </c>
      <c r="I20" s="89">
        <f t="shared" si="0"/>
        <v>12.5</v>
      </c>
    </row>
    <row r="21" spans="1:9" ht="18" x14ac:dyDescent="0.25">
      <c r="A21" s="54">
        <v>17</v>
      </c>
      <c r="B21" s="77" t="s">
        <v>170</v>
      </c>
      <c r="C21" s="150" t="s">
        <v>5</v>
      </c>
      <c r="D21" s="142">
        <v>9</v>
      </c>
      <c r="E21" s="92">
        <v>1</v>
      </c>
      <c r="F21" s="87"/>
      <c r="G21" s="91">
        <f>5.5</f>
        <v>5.5</v>
      </c>
      <c r="H21" s="98">
        <f>6+0.5</f>
        <v>6.5</v>
      </c>
      <c r="I21" s="89">
        <f t="shared" si="0"/>
        <v>12</v>
      </c>
    </row>
    <row r="22" spans="1:9" ht="18" x14ac:dyDescent="0.25">
      <c r="A22" s="54">
        <v>18</v>
      </c>
      <c r="B22" s="157" t="s">
        <v>126</v>
      </c>
      <c r="C22" s="87">
        <v>13</v>
      </c>
      <c r="D22" s="143">
        <v>1</v>
      </c>
      <c r="E22" s="95">
        <v>7</v>
      </c>
      <c r="F22" s="90"/>
      <c r="G22" s="94">
        <f>6+1</f>
        <v>7</v>
      </c>
      <c r="H22" s="144">
        <f>6.5-5</f>
        <v>1.5</v>
      </c>
      <c r="I22" s="89">
        <f t="shared" si="0"/>
        <v>8.5</v>
      </c>
    </row>
    <row r="23" spans="1:9" ht="18" x14ac:dyDescent="0.25">
      <c r="A23" s="54">
        <v>19</v>
      </c>
      <c r="B23" s="77" t="s">
        <v>174</v>
      </c>
      <c r="C23" s="90" t="s">
        <v>5</v>
      </c>
      <c r="D23" s="129">
        <v>7</v>
      </c>
      <c r="E23" s="145">
        <v>3</v>
      </c>
      <c r="F23" s="125"/>
      <c r="G23" s="140">
        <f>1+0.5</f>
        <v>1.5</v>
      </c>
      <c r="H23" s="137">
        <f>4+1</f>
        <v>5</v>
      </c>
      <c r="I23" s="89">
        <f t="shared" si="0"/>
        <v>6.5</v>
      </c>
    </row>
    <row r="24" spans="1:9" ht="18" x14ac:dyDescent="0.25">
      <c r="A24" s="54">
        <v>20</v>
      </c>
      <c r="B24" s="77" t="s">
        <v>15</v>
      </c>
      <c r="C24" s="87" t="s">
        <v>5</v>
      </c>
      <c r="D24" s="142">
        <v>8</v>
      </c>
      <c r="E24" s="92">
        <v>9</v>
      </c>
      <c r="F24" s="87"/>
      <c r="G24" s="91">
        <f>6+0.5</f>
        <v>6.5</v>
      </c>
      <c r="H24" s="98">
        <f>5.5+0.5-6</f>
        <v>0</v>
      </c>
      <c r="I24" s="89">
        <f t="shared" si="0"/>
        <v>6.5</v>
      </c>
    </row>
    <row r="25" spans="1:9" ht="18" x14ac:dyDescent="0.25">
      <c r="A25" s="54">
        <v>21</v>
      </c>
      <c r="B25" s="157" t="s">
        <v>161</v>
      </c>
      <c r="C25" s="90"/>
      <c r="D25" s="138">
        <v>3</v>
      </c>
      <c r="E25" s="149">
        <v>6</v>
      </c>
      <c r="F25" s="150"/>
      <c r="G25" s="151">
        <f>4</f>
        <v>4</v>
      </c>
      <c r="H25" s="152">
        <f>1.5+0.5</f>
        <v>2</v>
      </c>
      <c r="I25" s="89">
        <f t="shared" si="0"/>
        <v>6</v>
      </c>
    </row>
    <row r="26" spans="1:9" ht="18" x14ac:dyDescent="0.25">
      <c r="A26" s="54">
        <v>22</v>
      </c>
      <c r="B26" s="85" t="s">
        <v>150</v>
      </c>
      <c r="C26" s="87"/>
      <c r="D26" s="142">
        <v>2</v>
      </c>
      <c r="E26" s="92">
        <v>8</v>
      </c>
      <c r="F26" s="87"/>
      <c r="G26" s="91">
        <f>5+1.5-4</f>
        <v>2.5</v>
      </c>
      <c r="H26" s="98">
        <f>6-4</f>
        <v>2</v>
      </c>
      <c r="I26" s="89">
        <f t="shared" si="0"/>
        <v>4.5</v>
      </c>
    </row>
    <row r="27" spans="1:9" ht="18" x14ac:dyDescent="0.25">
      <c r="A27" s="54">
        <v>23</v>
      </c>
      <c r="B27" s="157" t="s">
        <v>176</v>
      </c>
      <c r="C27" s="87">
        <v>4</v>
      </c>
      <c r="D27" s="142">
        <v>4</v>
      </c>
      <c r="E27" s="92">
        <v>8</v>
      </c>
      <c r="F27" s="87"/>
      <c r="G27" s="91">
        <f>3</f>
        <v>3</v>
      </c>
      <c r="H27" s="98">
        <f>0.5+0.5</f>
        <v>1</v>
      </c>
      <c r="I27" s="89">
        <f t="shared" si="0"/>
        <v>4</v>
      </c>
    </row>
    <row r="28" spans="1:9" ht="18" x14ac:dyDescent="0.25">
      <c r="A28" s="54">
        <v>24</v>
      </c>
      <c r="B28" s="77" t="s">
        <v>182</v>
      </c>
      <c r="C28" s="87" t="s">
        <v>5</v>
      </c>
      <c r="D28" s="143">
        <v>10</v>
      </c>
      <c r="E28" s="95">
        <v>4</v>
      </c>
      <c r="F28" s="90"/>
      <c r="G28" s="94">
        <f>0</f>
        <v>0</v>
      </c>
      <c r="H28" s="144">
        <f>3</f>
        <v>3</v>
      </c>
      <c r="I28" s="89">
        <f t="shared" si="0"/>
        <v>3</v>
      </c>
    </row>
    <row r="29" spans="1:9" ht="18" x14ac:dyDescent="0.25">
      <c r="A29" s="54">
        <v>25</v>
      </c>
      <c r="B29" s="85" t="s">
        <v>171</v>
      </c>
      <c r="C29" s="87" t="s">
        <v>5</v>
      </c>
      <c r="D29" s="142">
        <v>8</v>
      </c>
      <c r="E29" s="92">
        <v>5</v>
      </c>
      <c r="F29" s="87"/>
      <c r="G29" s="91">
        <f>0.5-6</f>
        <v>-5.5</v>
      </c>
      <c r="H29" s="98">
        <f>7.5</f>
        <v>7.5</v>
      </c>
      <c r="I29" s="89">
        <f t="shared" si="0"/>
        <v>2</v>
      </c>
    </row>
    <row r="30" spans="1:9" ht="18" x14ac:dyDescent="0.25">
      <c r="A30" s="54">
        <v>26</v>
      </c>
      <c r="B30" s="160" t="s">
        <v>186</v>
      </c>
      <c r="C30" s="150" t="s">
        <v>5</v>
      </c>
      <c r="D30" s="142">
        <v>5</v>
      </c>
      <c r="E30" s="92">
        <v>9</v>
      </c>
      <c r="F30" s="87"/>
      <c r="G30" s="91">
        <f>2</f>
        <v>2</v>
      </c>
      <c r="H30" s="98">
        <f>0</f>
        <v>0</v>
      </c>
      <c r="I30" s="89">
        <f t="shared" si="0"/>
        <v>2</v>
      </c>
    </row>
    <row r="31" spans="1:9" ht="18" x14ac:dyDescent="0.25">
      <c r="A31" s="56">
        <v>27</v>
      </c>
      <c r="B31" s="77" t="s">
        <v>172</v>
      </c>
      <c r="C31" s="87"/>
      <c r="D31" s="143">
        <v>6</v>
      </c>
      <c r="E31" s="95">
        <v>7</v>
      </c>
      <c r="F31" s="90"/>
      <c r="G31" s="94">
        <f>1.5+2</f>
        <v>3.5</v>
      </c>
      <c r="H31" s="144">
        <f>1+0.5-4</f>
        <v>-2.5</v>
      </c>
      <c r="I31" s="89">
        <f t="shared" si="0"/>
        <v>1</v>
      </c>
    </row>
    <row r="32" spans="1:9" ht="21" customHeight="1" x14ac:dyDescent="0.25">
      <c r="A32" s="123">
        <v>28</v>
      </c>
      <c r="B32" s="157" t="s">
        <v>173</v>
      </c>
      <c r="C32" s="87"/>
      <c r="D32" s="142">
        <v>9</v>
      </c>
      <c r="E32" s="92">
        <v>9</v>
      </c>
      <c r="F32" s="87"/>
      <c r="G32" s="91">
        <f>0</f>
        <v>0</v>
      </c>
      <c r="H32" s="98">
        <f>0</f>
        <v>0</v>
      </c>
      <c r="I32" s="89">
        <f t="shared" si="0"/>
        <v>0</v>
      </c>
    </row>
    <row r="33" spans="1:9" ht="18" x14ac:dyDescent="0.25">
      <c r="A33" s="128">
        <v>29</v>
      </c>
      <c r="B33" s="161" t="s">
        <v>181</v>
      </c>
      <c r="C33" s="87"/>
      <c r="D33" s="129">
        <v>10</v>
      </c>
      <c r="E33" s="145">
        <v>2</v>
      </c>
      <c r="F33" s="125"/>
      <c r="G33" s="140">
        <f>5</f>
        <v>5</v>
      </c>
      <c r="H33" s="137">
        <f>5+0.5-5-2-5</f>
        <v>-6.5</v>
      </c>
      <c r="I33" s="89">
        <f t="shared" si="0"/>
        <v>-1.5</v>
      </c>
    </row>
    <row r="34" spans="1:9" ht="18" x14ac:dyDescent="0.25">
      <c r="A34" s="139">
        <v>30</v>
      </c>
      <c r="B34" s="158" t="s">
        <v>183</v>
      </c>
      <c r="C34" s="87"/>
      <c r="D34" s="138">
        <v>7</v>
      </c>
      <c r="E34" s="149">
        <v>3</v>
      </c>
      <c r="F34" s="150"/>
      <c r="G34" s="151">
        <f>6.5-4-5-6</f>
        <v>-8.5</v>
      </c>
      <c r="H34" s="152">
        <f>9.5-5</f>
        <v>4.5</v>
      </c>
      <c r="I34" s="89">
        <f t="shared" si="0"/>
        <v>-4</v>
      </c>
    </row>
    <row r="35" spans="1:9" ht="18" x14ac:dyDescent="0.25">
      <c r="A35" s="103">
        <v>37</v>
      </c>
      <c r="B35" s="77"/>
      <c r="C35" s="87"/>
      <c r="D35" s="142"/>
      <c r="E35" s="92"/>
      <c r="F35" s="87"/>
      <c r="G35" s="91"/>
      <c r="H35" s="98"/>
      <c r="I35" s="89">
        <f t="shared" ref="I35:I37" si="1">SUM(F35:H35)</f>
        <v>0</v>
      </c>
    </row>
    <row r="36" spans="1:9" ht="18" x14ac:dyDescent="0.25">
      <c r="A36" s="103">
        <v>38</v>
      </c>
      <c r="B36" s="43"/>
      <c r="C36" s="90"/>
      <c r="D36" s="143"/>
      <c r="E36" s="95"/>
      <c r="F36" s="90"/>
      <c r="G36" s="94"/>
      <c r="H36" s="144"/>
      <c r="I36" s="89">
        <f t="shared" si="1"/>
        <v>0</v>
      </c>
    </row>
    <row r="37" spans="1:9" ht="18.75" thickBot="1" x14ac:dyDescent="0.3">
      <c r="A37" s="120">
        <v>39</v>
      </c>
      <c r="B37" s="120"/>
      <c r="C37" s="147"/>
      <c r="D37" s="153"/>
      <c r="E37" s="116"/>
      <c r="F37" s="154"/>
      <c r="G37" s="115"/>
      <c r="H37" s="101"/>
      <c r="I37" s="89">
        <f t="shared" si="1"/>
        <v>0</v>
      </c>
    </row>
    <row r="38" spans="1:9" ht="18" x14ac:dyDescent="0.25">
      <c r="A38" s="126"/>
      <c r="B38" s="126"/>
      <c r="C38" s="126"/>
      <c r="D38" s="126"/>
      <c r="E38" s="126"/>
      <c r="F38" s="126"/>
      <c r="G38" s="126"/>
      <c r="H38" s="126"/>
      <c r="I38" s="126"/>
    </row>
    <row r="39" spans="1:9" ht="18" x14ac:dyDescent="0.25">
      <c r="A39" s="126"/>
      <c r="B39" s="126"/>
      <c r="C39" s="126"/>
      <c r="D39" s="126"/>
      <c r="E39" s="126"/>
      <c r="F39" s="126"/>
      <c r="G39" s="126"/>
      <c r="H39" s="126"/>
      <c r="I39" s="126"/>
    </row>
    <row r="40" spans="1:9" ht="18" x14ac:dyDescent="0.25">
      <c r="A40" s="126"/>
      <c r="B40" s="126"/>
      <c r="C40" s="126"/>
      <c r="D40" s="126"/>
      <c r="E40" s="126"/>
      <c r="F40" s="126"/>
      <c r="G40" s="126"/>
      <c r="H40" s="126"/>
      <c r="I40" s="126"/>
    </row>
    <row r="41" spans="1:9" ht="18" x14ac:dyDescent="0.25">
      <c r="A41" s="126"/>
      <c r="B41" s="126"/>
      <c r="C41" s="126"/>
      <c r="D41" s="126"/>
      <c r="E41" s="126"/>
      <c r="F41" s="126"/>
      <c r="G41" s="126"/>
      <c r="H41" s="126"/>
      <c r="I41" s="126"/>
    </row>
    <row r="42" spans="1:9" ht="18" x14ac:dyDescent="0.25">
      <c r="A42" s="126"/>
      <c r="B42" s="126"/>
      <c r="C42" s="126"/>
      <c r="D42" s="126"/>
      <c r="E42" s="126"/>
      <c r="F42" s="126"/>
      <c r="G42" s="126"/>
      <c r="H42" s="126"/>
      <c r="I42" s="126"/>
    </row>
    <row r="43" spans="1:9" x14ac:dyDescent="0.25">
      <c r="A43" s="127"/>
      <c r="B43" s="127"/>
      <c r="C43" s="127"/>
      <c r="D43" s="127"/>
      <c r="E43" s="127"/>
      <c r="F43" s="127"/>
      <c r="G43" s="127"/>
      <c r="H43" s="127"/>
      <c r="I43" s="127"/>
    </row>
  </sheetData>
  <autoFilter ref="A1:I37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</autoFilter>
  <sortState ref="B6:I34">
    <sortCondition descending="1" ref="I5:I34"/>
  </sortState>
  <mergeCells count="6">
    <mergeCell ref="A1:I2"/>
    <mergeCell ref="A3:A4"/>
    <mergeCell ref="B3:B4"/>
    <mergeCell ref="D3:E3"/>
    <mergeCell ref="F3:H3"/>
    <mergeCell ref="I3:I4"/>
  </mergeCells>
  <pageMargins left="0.70866141732283472" right="0.70866141732283472" top="0.74803149606299213" bottom="0.74803149606299213" header="0.31496062992125984" footer="0.31496062992125984"/>
  <pageSetup paperSize="9" scale="86" orientation="portrait" horizontalDpi="0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3"/>
  <sheetViews>
    <sheetView topLeftCell="A6" zoomScale="60" zoomScaleNormal="60" workbookViewId="0">
      <selection activeCell="B6" sqref="B6"/>
    </sheetView>
  </sheetViews>
  <sheetFormatPr defaultRowHeight="15" x14ac:dyDescent="0.25"/>
  <cols>
    <col min="1" max="1" width="5.140625" customWidth="1"/>
    <col min="2" max="2" width="39.28515625" customWidth="1"/>
    <col min="3" max="4" width="7.7109375" customWidth="1"/>
  </cols>
  <sheetData>
    <row r="1" spans="1:10" x14ac:dyDescent="0.25">
      <c r="A1" s="347" t="s">
        <v>187</v>
      </c>
      <c r="B1" s="348"/>
      <c r="C1" s="348"/>
      <c r="D1" s="348"/>
      <c r="E1" s="348"/>
      <c r="F1" s="348"/>
      <c r="G1" s="348"/>
      <c r="H1" s="348"/>
      <c r="I1" s="348"/>
      <c r="J1" s="349"/>
    </row>
    <row r="2" spans="1:10" ht="15.75" thickBot="1" x14ac:dyDescent="0.3">
      <c r="A2" s="350"/>
      <c r="B2" s="338"/>
      <c r="C2" s="338"/>
      <c r="D2" s="338"/>
      <c r="E2" s="338"/>
      <c r="F2" s="338"/>
      <c r="G2" s="338"/>
      <c r="H2" s="338"/>
      <c r="I2" s="338"/>
      <c r="J2" s="351"/>
    </row>
    <row r="3" spans="1:10" ht="16.5" thickBot="1" x14ac:dyDescent="0.3">
      <c r="A3" s="339"/>
      <c r="B3" s="341" t="s">
        <v>0</v>
      </c>
      <c r="C3" s="354" t="s">
        <v>4</v>
      </c>
      <c r="D3" s="354" t="s">
        <v>1</v>
      </c>
      <c r="E3" s="352" t="s">
        <v>63</v>
      </c>
      <c r="F3" s="353"/>
      <c r="G3" s="344" t="s">
        <v>2</v>
      </c>
      <c r="H3" s="344"/>
      <c r="I3" s="344"/>
      <c r="J3" s="345" t="s">
        <v>3</v>
      </c>
    </row>
    <row r="4" spans="1:10" ht="16.5" thickBot="1" x14ac:dyDescent="0.3">
      <c r="A4" s="340"/>
      <c r="B4" s="342"/>
      <c r="C4" s="355"/>
      <c r="D4" s="355"/>
      <c r="E4" s="3">
        <v>1</v>
      </c>
      <c r="F4" s="177">
        <v>2</v>
      </c>
      <c r="G4" s="5">
        <v>0</v>
      </c>
      <c r="H4" s="178">
        <v>1</v>
      </c>
      <c r="I4" s="130">
        <v>2</v>
      </c>
      <c r="J4" s="346"/>
    </row>
    <row r="5" spans="1:10" ht="18" x14ac:dyDescent="0.25">
      <c r="A5" s="131">
        <v>1</v>
      </c>
      <c r="B5" s="195" t="s">
        <v>191</v>
      </c>
      <c r="C5" s="196">
        <v>5</v>
      </c>
      <c r="D5" s="196">
        <v>42.06</v>
      </c>
      <c r="E5" s="196">
        <v>3</v>
      </c>
      <c r="F5" s="196">
        <v>3</v>
      </c>
      <c r="G5" s="196">
        <v>2</v>
      </c>
      <c r="H5" s="196">
        <f>15+4.9+2.5</f>
        <v>22.4</v>
      </c>
      <c r="I5" s="196">
        <f>15+5.6+2.5</f>
        <v>23.1</v>
      </c>
      <c r="J5" s="197">
        <f t="shared" ref="J5:J43" si="0">SUM(G5:I5)</f>
        <v>47.5</v>
      </c>
    </row>
    <row r="6" spans="1:10" ht="18.75" thickBot="1" x14ac:dyDescent="0.3">
      <c r="A6" s="54">
        <v>2</v>
      </c>
      <c r="B6" s="198" t="s">
        <v>206</v>
      </c>
      <c r="C6" s="199">
        <v>7.5</v>
      </c>
      <c r="D6" s="199">
        <v>42.01</v>
      </c>
      <c r="E6" s="200">
        <v>9</v>
      </c>
      <c r="F6" s="200">
        <v>1</v>
      </c>
      <c r="G6" s="200">
        <v>2.5</v>
      </c>
      <c r="H6" s="200">
        <f>11+1.4+1</f>
        <v>13.4</v>
      </c>
      <c r="I6" s="200">
        <f>17+4.9+2</f>
        <v>23.9</v>
      </c>
      <c r="J6" s="201">
        <f t="shared" si="0"/>
        <v>39.799999999999997</v>
      </c>
    </row>
    <row r="7" spans="1:10" ht="18" x14ac:dyDescent="0.25">
      <c r="A7" s="54">
        <v>3</v>
      </c>
      <c r="B7" s="202" t="s">
        <v>9</v>
      </c>
      <c r="C7" s="203" t="s">
        <v>5</v>
      </c>
      <c r="D7" s="203">
        <v>43.09</v>
      </c>
      <c r="E7" s="182">
        <v>1</v>
      </c>
      <c r="F7" s="182">
        <v>2</v>
      </c>
      <c r="G7" s="182"/>
      <c r="H7" s="182">
        <f>17+1.4</f>
        <v>18.399999999999999</v>
      </c>
      <c r="I7" s="182">
        <f>16+1.4+1</f>
        <v>18.399999999999999</v>
      </c>
      <c r="J7" s="146">
        <f t="shared" si="0"/>
        <v>36.799999999999997</v>
      </c>
    </row>
    <row r="8" spans="1:10" ht="18" x14ac:dyDescent="0.25">
      <c r="A8" s="54">
        <v>4</v>
      </c>
      <c r="B8" s="189" t="s">
        <v>203</v>
      </c>
      <c r="C8" s="93"/>
      <c r="D8" s="93">
        <v>42.58</v>
      </c>
      <c r="E8" s="93">
        <v>7</v>
      </c>
      <c r="F8" s="93">
        <v>4</v>
      </c>
      <c r="G8" s="93"/>
      <c r="H8" s="93">
        <f>12+0.5</f>
        <v>12.5</v>
      </c>
      <c r="I8" s="93">
        <f>14+2.1+0.5</f>
        <v>16.600000000000001</v>
      </c>
      <c r="J8" s="98">
        <f t="shared" si="0"/>
        <v>29.1</v>
      </c>
    </row>
    <row r="9" spans="1:10" ht="18" x14ac:dyDescent="0.25">
      <c r="A9" s="54">
        <v>5</v>
      </c>
      <c r="B9" s="165" t="s">
        <v>49</v>
      </c>
      <c r="C9" s="162">
        <v>12.5</v>
      </c>
      <c r="D9" s="162">
        <v>43.29</v>
      </c>
      <c r="E9" s="93">
        <v>2</v>
      </c>
      <c r="F9" s="93">
        <v>7</v>
      </c>
      <c r="G9" s="93"/>
      <c r="H9" s="93">
        <f>16</f>
        <v>16</v>
      </c>
      <c r="I9" s="93">
        <v>12</v>
      </c>
      <c r="J9" s="98">
        <f t="shared" si="0"/>
        <v>28</v>
      </c>
    </row>
    <row r="10" spans="1:10" ht="18" x14ac:dyDescent="0.25">
      <c r="A10" s="54">
        <v>6</v>
      </c>
      <c r="B10" s="190" t="s">
        <v>175</v>
      </c>
      <c r="C10" s="93" t="s">
        <v>5</v>
      </c>
      <c r="D10" s="93">
        <v>42.5</v>
      </c>
      <c r="E10" s="93">
        <v>6</v>
      </c>
      <c r="F10" s="93">
        <v>8</v>
      </c>
      <c r="G10" s="93">
        <v>0.5</v>
      </c>
      <c r="H10" s="93">
        <f>12.5+0.7+1.5</f>
        <v>14.7</v>
      </c>
      <c r="I10" s="93">
        <f>11.5+0.7</f>
        <v>12.2</v>
      </c>
      <c r="J10" s="98">
        <f t="shared" si="0"/>
        <v>27.4</v>
      </c>
    </row>
    <row r="11" spans="1:10" ht="18" x14ac:dyDescent="0.25">
      <c r="A11" s="54">
        <v>7</v>
      </c>
      <c r="B11" s="190" t="s">
        <v>38</v>
      </c>
      <c r="C11" s="93" t="s">
        <v>5</v>
      </c>
      <c r="D11" s="93">
        <v>42.39</v>
      </c>
      <c r="E11" s="162">
        <v>8</v>
      </c>
      <c r="F11" s="162">
        <v>11</v>
      </c>
      <c r="G11" s="162">
        <v>1.5</v>
      </c>
      <c r="H11" s="162">
        <f>11.5+0.7+2</f>
        <v>14.2</v>
      </c>
      <c r="I11" s="162">
        <f>10+1.5</f>
        <v>11.5</v>
      </c>
      <c r="J11" s="98">
        <f t="shared" si="0"/>
        <v>27.2</v>
      </c>
    </row>
    <row r="12" spans="1:10" ht="18" x14ac:dyDescent="0.25">
      <c r="A12" s="54">
        <v>8</v>
      </c>
      <c r="B12" s="189" t="s">
        <v>200</v>
      </c>
      <c r="C12" s="162" t="s">
        <v>5</v>
      </c>
      <c r="D12" s="162">
        <v>42.77</v>
      </c>
      <c r="E12" s="93">
        <v>5</v>
      </c>
      <c r="F12" s="93">
        <v>3</v>
      </c>
      <c r="G12" s="164"/>
      <c r="H12" s="93">
        <f>13</f>
        <v>13</v>
      </c>
      <c r="I12" s="93">
        <f>9.5+3</f>
        <v>12.5</v>
      </c>
      <c r="J12" s="98">
        <f t="shared" si="0"/>
        <v>25.5</v>
      </c>
    </row>
    <row r="13" spans="1:10" ht="18" x14ac:dyDescent="0.25">
      <c r="A13" s="54">
        <v>9</v>
      </c>
      <c r="B13" s="188" t="s">
        <v>10</v>
      </c>
      <c r="C13" s="93">
        <v>12.5</v>
      </c>
      <c r="D13" s="93">
        <v>43.69</v>
      </c>
      <c r="E13" s="96">
        <v>2</v>
      </c>
      <c r="F13" s="96">
        <v>2</v>
      </c>
      <c r="G13" s="96"/>
      <c r="H13" s="96">
        <f>10.5+1</f>
        <v>11.5</v>
      </c>
      <c r="I13" s="96">
        <f>10.5+1</f>
        <v>11.5</v>
      </c>
      <c r="J13" s="98">
        <f t="shared" si="0"/>
        <v>23</v>
      </c>
    </row>
    <row r="14" spans="1:10" ht="18" x14ac:dyDescent="0.25">
      <c r="A14" s="54">
        <v>10</v>
      </c>
      <c r="B14" s="189" t="s">
        <v>196</v>
      </c>
      <c r="C14" s="163"/>
      <c r="D14" s="163">
        <v>42.75</v>
      </c>
      <c r="E14" s="93">
        <v>4</v>
      </c>
      <c r="F14" s="93">
        <v>4</v>
      </c>
      <c r="G14" s="93"/>
      <c r="H14" s="93">
        <f>14+0.7</f>
        <v>14.7</v>
      </c>
      <c r="I14" s="93">
        <f>8.5+2-3</f>
        <v>7.5</v>
      </c>
      <c r="J14" s="98">
        <f t="shared" si="0"/>
        <v>22.2</v>
      </c>
    </row>
    <row r="15" spans="1:10" ht="18" x14ac:dyDescent="0.25">
      <c r="A15" s="54">
        <v>11</v>
      </c>
      <c r="B15" s="165" t="s">
        <v>25</v>
      </c>
      <c r="C15" s="162">
        <v>17.5</v>
      </c>
      <c r="D15" s="162">
        <v>42.45</v>
      </c>
      <c r="E15" s="93">
        <v>10</v>
      </c>
      <c r="F15" s="93">
        <v>10</v>
      </c>
      <c r="G15" s="93">
        <v>1</v>
      </c>
      <c r="H15" s="93">
        <v>10.5</v>
      </c>
      <c r="I15" s="93">
        <v>10.5</v>
      </c>
      <c r="J15" s="98">
        <f t="shared" si="0"/>
        <v>22</v>
      </c>
    </row>
    <row r="16" spans="1:10" ht="18" x14ac:dyDescent="0.25">
      <c r="A16" s="54">
        <v>12</v>
      </c>
      <c r="B16" s="165" t="s">
        <v>18</v>
      </c>
      <c r="C16" s="162"/>
      <c r="D16" s="162">
        <v>43.31</v>
      </c>
      <c r="E16" s="93">
        <v>11</v>
      </c>
      <c r="F16" s="93">
        <v>7</v>
      </c>
      <c r="G16" s="93"/>
      <c r="H16" s="93">
        <v>10</v>
      </c>
      <c r="I16" s="93">
        <f>6.5+1.5</f>
        <v>8</v>
      </c>
      <c r="J16" s="98">
        <f t="shared" si="0"/>
        <v>18</v>
      </c>
    </row>
    <row r="17" spans="1:10" ht="18" x14ac:dyDescent="0.25">
      <c r="A17" s="54">
        <v>13</v>
      </c>
      <c r="B17" s="189" t="s">
        <v>93</v>
      </c>
      <c r="C17" s="93">
        <v>10</v>
      </c>
      <c r="D17" s="93">
        <v>43.41</v>
      </c>
      <c r="E17" s="162">
        <v>10</v>
      </c>
      <c r="F17" s="162">
        <v>5</v>
      </c>
      <c r="G17" s="162"/>
      <c r="H17" s="162">
        <v>5</v>
      </c>
      <c r="I17" s="162">
        <v>13</v>
      </c>
      <c r="J17" s="98">
        <f t="shared" si="0"/>
        <v>18</v>
      </c>
    </row>
    <row r="18" spans="1:10" ht="18" x14ac:dyDescent="0.25">
      <c r="A18" s="54">
        <v>14</v>
      </c>
      <c r="B18" s="189" t="s">
        <v>189</v>
      </c>
      <c r="C18" s="96">
        <v>2.5</v>
      </c>
      <c r="D18" s="96">
        <v>43.83</v>
      </c>
      <c r="E18" s="162">
        <v>6</v>
      </c>
      <c r="F18" s="162">
        <v>6</v>
      </c>
      <c r="G18" s="162"/>
      <c r="H18" s="162">
        <f>1.5+2</f>
        <v>3.5</v>
      </c>
      <c r="I18" s="162">
        <v>12.5</v>
      </c>
      <c r="J18" s="98">
        <f t="shared" si="0"/>
        <v>16</v>
      </c>
    </row>
    <row r="19" spans="1:10" ht="18" x14ac:dyDescent="0.25">
      <c r="A19" s="54">
        <v>15</v>
      </c>
      <c r="B19" s="191" t="s">
        <v>198</v>
      </c>
      <c r="C19" s="96">
        <v>5</v>
      </c>
      <c r="D19" s="96">
        <v>43.37</v>
      </c>
      <c r="E19" s="162">
        <v>6</v>
      </c>
      <c r="F19" s="162">
        <v>9</v>
      </c>
      <c r="G19" s="162"/>
      <c r="H19" s="162">
        <f>7+2-5</f>
        <v>4</v>
      </c>
      <c r="I19" s="162">
        <v>11</v>
      </c>
      <c r="J19" s="98">
        <f t="shared" si="0"/>
        <v>15</v>
      </c>
    </row>
    <row r="20" spans="1:10" ht="18" x14ac:dyDescent="0.25">
      <c r="A20" s="54">
        <v>16</v>
      </c>
      <c r="B20" s="192" t="s">
        <v>205</v>
      </c>
      <c r="C20" s="96">
        <v>20</v>
      </c>
      <c r="D20" s="96">
        <v>43.8</v>
      </c>
      <c r="E20" s="93">
        <v>3</v>
      </c>
      <c r="F20" s="93">
        <v>1</v>
      </c>
      <c r="G20" s="93"/>
      <c r="H20" s="93">
        <v>9.5</v>
      </c>
      <c r="I20" s="93">
        <f>11.5+0.5-7</f>
        <v>5</v>
      </c>
      <c r="J20" s="98">
        <f t="shared" si="0"/>
        <v>14.5</v>
      </c>
    </row>
    <row r="21" spans="1:10" ht="18" x14ac:dyDescent="0.25">
      <c r="A21" s="54">
        <v>17</v>
      </c>
      <c r="B21" s="190" t="s">
        <v>126</v>
      </c>
      <c r="C21" s="93">
        <v>12.5</v>
      </c>
      <c r="D21" s="93">
        <v>43.92</v>
      </c>
      <c r="E21" s="96">
        <v>3</v>
      </c>
      <c r="F21" s="96">
        <v>1</v>
      </c>
      <c r="G21" s="96"/>
      <c r="H21" s="96">
        <f>4+2.5</f>
        <v>6.5</v>
      </c>
      <c r="I21" s="96">
        <f>6+2</f>
        <v>8</v>
      </c>
      <c r="J21" s="98">
        <f t="shared" si="0"/>
        <v>14.5</v>
      </c>
    </row>
    <row r="22" spans="1:10" ht="18" x14ac:dyDescent="0.25">
      <c r="A22" s="54">
        <v>18</v>
      </c>
      <c r="B22" s="189" t="s">
        <v>150</v>
      </c>
      <c r="C22" s="93">
        <v>2.5</v>
      </c>
      <c r="D22" s="93">
        <v>43.77</v>
      </c>
      <c r="E22" s="93">
        <v>4</v>
      </c>
      <c r="F22" s="93">
        <v>9</v>
      </c>
      <c r="G22" s="93"/>
      <c r="H22" s="93">
        <v>8.5</v>
      </c>
      <c r="I22" s="93">
        <v>5.5</v>
      </c>
      <c r="J22" s="98">
        <f t="shared" si="0"/>
        <v>14</v>
      </c>
    </row>
    <row r="23" spans="1:10" ht="18" x14ac:dyDescent="0.25">
      <c r="A23" s="54">
        <v>19</v>
      </c>
      <c r="B23" s="190" t="s">
        <v>192</v>
      </c>
      <c r="C23" s="93" t="s">
        <v>5</v>
      </c>
      <c r="D23" s="93">
        <v>43.63</v>
      </c>
      <c r="E23" s="96">
        <v>8</v>
      </c>
      <c r="F23" s="96">
        <v>2</v>
      </c>
      <c r="G23" s="96"/>
      <c r="H23" s="96">
        <v>6</v>
      </c>
      <c r="I23" s="96">
        <f>5+2</f>
        <v>7</v>
      </c>
      <c r="J23" s="98">
        <f t="shared" si="0"/>
        <v>13</v>
      </c>
    </row>
    <row r="24" spans="1:10" ht="18" x14ac:dyDescent="0.25">
      <c r="A24" s="54">
        <v>20</v>
      </c>
      <c r="B24" s="189" t="s">
        <v>59</v>
      </c>
      <c r="C24" s="93">
        <v>12.5</v>
      </c>
      <c r="D24" s="93">
        <v>43.7</v>
      </c>
      <c r="E24" s="93">
        <v>1</v>
      </c>
      <c r="F24" s="93">
        <v>8</v>
      </c>
      <c r="G24" s="93"/>
      <c r="H24" s="93">
        <f>11.5+1</f>
        <v>12.5</v>
      </c>
      <c r="I24" s="93">
        <f>6-2-5</f>
        <v>-1</v>
      </c>
      <c r="J24" s="98">
        <f t="shared" si="0"/>
        <v>11.5</v>
      </c>
    </row>
    <row r="25" spans="1:10" ht="18" x14ac:dyDescent="0.25">
      <c r="A25" s="54">
        <v>21</v>
      </c>
      <c r="B25" s="165" t="s">
        <v>207</v>
      </c>
      <c r="C25" s="162">
        <v>20</v>
      </c>
      <c r="D25" s="162">
        <v>43.83</v>
      </c>
      <c r="E25" s="163">
        <v>7</v>
      </c>
      <c r="F25" s="163">
        <v>5</v>
      </c>
      <c r="G25" s="163"/>
      <c r="H25" s="163">
        <f>1+2</f>
        <v>3</v>
      </c>
      <c r="I25" s="163">
        <v>7.5</v>
      </c>
      <c r="J25" s="98">
        <f t="shared" si="0"/>
        <v>10.5</v>
      </c>
    </row>
    <row r="26" spans="1:10" ht="18" x14ac:dyDescent="0.25">
      <c r="A26" s="54">
        <v>22</v>
      </c>
      <c r="B26" s="165" t="s">
        <v>60</v>
      </c>
      <c r="C26" s="162"/>
      <c r="D26" s="162">
        <v>43.57</v>
      </c>
      <c r="E26" s="162">
        <v>7</v>
      </c>
      <c r="F26" s="162">
        <v>10</v>
      </c>
      <c r="G26" s="162"/>
      <c r="H26" s="162">
        <f>6.5-3</f>
        <v>3.5</v>
      </c>
      <c r="I26" s="162">
        <f>5+0.5</f>
        <v>5.5</v>
      </c>
      <c r="J26" s="98">
        <f t="shared" si="0"/>
        <v>9</v>
      </c>
    </row>
    <row r="27" spans="1:10" ht="18" x14ac:dyDescent="0.25">
      <c r="A27" s="54">
        <v>23</v>
      </c>
      <c r="B27" s="193" t="s">
        <v>134</v>
      </c>
      <c r="C27" s="93" t="s">
        <v>5</v>
      </c>
      <c r="D27" s="93">
        <v>43.48</v>
      </c>
      <c r="E27" s="93">
        <v>5</v>
      </c>
      <c r="F27" s="93">
        <v>11</v>
      </c>
      <c r="G27" s="93"/>
      <c r="H27" s="93">
        <f>7.5+1.5-5</f>
        <v>4</v>
      </c>
      <c r="I27" s="93">
        <v>4.5</v>
      </c>
      <c r="J27" s="98">
        <f t="shared" si="0"/>
        <v>8.5</v>
      </c>
    </row>
    <row r="28" spans="1:10" ht="18" x14ac:dyDescent="0.25">
      <c r="A28" s="54">
        <v>24</v>
      </c>
      <c r="B28" s="189" t="s">
        <v>199</v>
      </c>
      <c r="C28" s="93" t="s">
        <v>5</v>
      </c>
      <c r="D28" s="93">
        <v>43.57</v>
      </c>
      <c r="E28" s="162">
        <v>9</v>
      </c>
      <c r="F28" s="162">
        <v>5</v>
      </c>
      <c r="G28" s="162"/>
      <c r="H28" s="162">
        <v>5.5</v>
      </c>
      <c r="I28" s="162">
        <v>2</v>
      </c>
      <c r="J28" s="98">
        <f t="shared" si="0"/>
        <v>7.5</v>
      </c>
    </row>
    <row r="29" spans="1:10" ht="18" x14ac:dyDescent="0.25">
      <c r="A29" s="54">
        <v>25</v>
      </c>
      <c r="B29" s="190" t="s">
        <v>193</v>
      </c>
      <c r="C29" s="162">
        <v>7.5</v>
      </c>
      <c r="D29" s="162">
        <v>45.2</v>
      </c>
      <c r="E29" s="162">
        <v>4</v>
      </c>
      <c r="F29" s="162">
        <v>4</v>
      </c>
      <c r="G29" s="162"/>
      <c r="H29" s="162">
        <f>3</f>
        <v>3</v>
      </c>
      <c r="I29" s="162">
        <v>3</v>
      </c>
      <c r="J29" s="98">
        <f t="shared" si="0"/>
        <v>6</v>
      </c>
    </row>
    <row r="30" spans="1:10" ht="18" x14ac:dyDescent="0.25">
      <c r="A30" s="54">
        <v>26</v>
      </c>
      <c r="B30" s="190" t="s">
        <v>178</v>
      </c>
      <c r="C30" s="93" t="s">
        <v>5</v>
      </c>
      <c r="D30" s="93">
        <v>43.97</v>
      </c>
      <c r="E30" s="96">
        <v>1</v>
      </c>
      <c r="F30" s="96">
        <v>6</v>
      </c>
      <c r="G30" s="96"/>
      <c r="H30" s="96">
        <f>6+3-4</f>
        <v>5</v>
      </c>
      <c r="I30" s="96">
        <f>7-7</f>
        <v>0</v>
      </c>
      <c r="J30" s="98">
        <f t="shared" si="0"/>
        <v>5</v>
      </c>
    </row>
    <row r="31" spans="1:10" ht="18" x14ac:dyDescent="0.25">
      <c r="A31" s="56">
        <v>27</v>
      </c>
      <c r="B31" s="189" t="s">
        <v>15</v>
      </c>
      <c r="C31" s="93">
        <v>7.5</v>
      </c>
      <c r="D31" s="93">
        <v>44</v>
      </c>
      <c r="E31" s="93">
        <v>2</v>
      </c>
      <c r="F31" s="93">
        <v>7</v>
      </c>
      <c r="G31" s="93"/>
      <c r="H31" s="93">
        <f>5+2</f>
        <v>7</v>
      </c>
      <c r="I31" s="93">
        <f>1+1-5</f>
        <v>-3</v>
      </c>
      <c r="J31" s="98">
        <f t="shared" si="0"/>
        <v>4</v>
      </c>
    </row>
    <row r="32" spans="1:10" ht="21" customHeight="1" x14ac:dyDescent="0.25">
      <c r="A32" s="123">
        <v>28</v>
      </c>
      <c r="B32" s="190" t="s">
        <v>194</v>
      </c>
      <c r="C32" s="163" t="s">
        <v>5</v>
      </c>
      <c r="D32" s="163">
        <v>44.16</v>
      </c>
      <c r="E32" s="93">
        <v>11</v>
      </c>
      <c r="F32" s="93">
        <v>5</v>
      </c>
      <c r="G32" s="93"/>
      <c r="H32" s="93">
        <v>0</v>
      </c>
      <c r="I32" s="93">
        <f>1.5+2</f>
        <v>3.5</v>
      </c>
      <c r="J32" s="98">
        <f t="shared" si="0"/>
        <v>3.5</v>
      </c>
    </row>
    <row r="33" spans="1:10" ht="18" x14ac:dyDescent="0.25">
      <c r="A33" s="128">
        <v>29</v>
      </c>
      <c r="B33" s="190" t="s">
        <v>201</v>
      </c>
      <c r="C33" s="93">
        <v>20</v>
      </c>
      <c r="D33" s="93">
        <v>44.58</v>
      </c>
      <c r="E33" s="93">
        <v>8</v>
      </c>
      <c r="F33" s="93">
        <v>8</v>
      </c>
      <c r="G33" s="93"/>
      <c r="H33" s="93">
        <f>0.5</f>
        <v>0.5</v>
      </c>
      <c r="I33" s="93">
        <v>0.5</v>
      </c>
      <c r="J33" s="98">
        <f t="shared" si="0"/>
        <v>1</v>
      </c>
    </row>
    <row r="34" spans="1:10" ht="18" x14ac:dyDescent="0.25">
      <c r="A34" s="139">
        <v>30</v>
      </c>
      <c r="B34" s="189" t="s">
        <v>202</v>
      </c>
      <c r="C34" s="96" t="s">
        <v>5</v>
      </c>
      <c r="D34" s="96">
        <v>44.57</v>
      </c>
      <c r="E34" s="93">
        <v>5</v>
      </c>
      <c r="F34" s="93">
        <v>3</v>
      </c>
      <c r="G34" s="93"/>
      <c r="H34" s="93">
        <f>2-1</f>
        <v>1</v>
      </c>
      <c r="I34" s="93">
        <f>4-7</f>
        <v>-3</v>
      </c>
      <c r="J34" s="98">
        <f t="shared" si="0"/>
        <v>-2</v>
      </c>
    </row>
    <row r="35" spans="1:10" ht="18" x14ac:dyDescent="0.25">
      <c r="A35" s="103">
        <v>31</v>
      </c>
      <c r="B35" s="194" t="s">
        <v>62</v>
      </c>
      <c r="C35" s="93" t="s">
        <v>5</v>
      </c>
      <c r="D35" s="93">
        <v>43.85</v>
      </c>
      <c r="E35" s="96">
        <v>9</v>
      </c>
      <c r="F35" s="96">
        <v>10</v>
      </c>
      <c r="G35" s="96"/>
      <c r="H35" s="96">
        <f>0-2-7</f>
        <v>-9</v>
      </c>
      <c r="I35" s="96">
        <v>0</v>
      </c>
      <c r="J35" s="98">
        <f t="shared" si="0"/>
        <v>-9</v>
      </c>
    </row>
    <row r="36" spans="1:10" ht="18" x14ac:dyDescent="0.25">
      <c r="A36" s="103">
        <v>32</v>
      </c>
      <c r="B36" s="188" t="s">
        <v>210</v>
      </c>
      <c r="C36" s="93" t="s">
        <v>5</v>
      </c>
      <c r="D36" s="93">
        <v>44.09</v>
      </c>
      <c r="E36" s="93">
        <v>10</v>
      </c>
      <c r="F36" s="93">
        <v>9</v>
      </c>
      <c r="G36" s="93"/>
      <c r="H36" s="93">
        <f>0-4-7</f>
        <v>-11</v>
      </c>
      <c r="I36" s="93">
        <v>0</v>
      </c>
      <c r="J36" s="98">
        <f t="shared" si="0"/>
        <v>-11</v>
      </c>
    </row>
    <row r="37" spans="1:10" ht="18" x14ac:dyDescent="0.25">
      <c r="A37" s="103">
        <v>33</v>
      </c>
      <c r="B37" s="190" t="s">
        <v>209</v>
      </c>
      <c r="C37" s="96" t="s">
        <v>5</v>
      </c>
      <c r="D37" s="96">
        <v>46.14</v>
      </c>
      <c r="E37" s="96"/>
      <c r="F37" s="96"/>
      <c r="G37" s="96"/>
      <c r="H37" s="96"/>
      <c r="I37" s="96"/>
      <c r="J37" s="98">
        <f t="shared" si="0"/>
        <v>0</v>
      </c>
    </row>
    <row r="38" spans="1:10" ht="18" x14ac:dyDescent="0.25">
      <c r="A38" s="103">
        <v>34</v>
      </c>
      <c r="B38" s="189" t="s">
        <v>195</v>
      </c>
      <c r="C38" s="93" t="s">
        <v>5</v>
      </c>
      <c r="D38" s="93">
        <v>46.21</v>
      </c>
      <c r="E38" s="93"/>
      <c r="F38" s="93"/>
      <c r="G38" s="93"/>
      <c r="H38" s="93"/>
      <c r="I38" s="93"/>
      <c r="J38" s="98">
        <f t="shared" si="0"/>
        <v>0</v>
      </c>
    </row>
    <row r="39" spans="1:10" ht="18" x14ac:dyDescent="0.25">
      <c r="A39" s="103">
        <v>35</v>
      </c>
      <c r="B39" s="193" t="s">
        <v>188</v>
      </c>
      <c r="C39" s="93">
        <v>5</v>
      </c>
      <c r="D39" s="93">
        <v>46.42</v>
      </c>
      <c r="E39" s="162"/>
      <c r="F39" s="162"/>
      <c r="G39" s="162"/>
      <c r="H39" s="162"/>
      <c r="I39" s="162"/>
      <c r="J39" s="98">
        <f t="shared" si="0"/>
        <v>0</v>
      </c>
    </row>
    <row r="40" spans="1:10" ht="18" x14ac:dyDescent="0.25">
      <c r="A40" s="103">
        <v>36</v>
      </c>
      <c r="B40" s="189" t="s">
        <v>197</v>
      </c>
      <c r="C40" s="93">
        <v>22.5</v>
      </c>
      <c r="D40" s="93">
        <v>46.43</v>
      </c>
      <c r="E40" s="93"/>
      <c r="F40" s="93"/>
      <c r="G40" s="93"/>
      <c r="H40" s="93"/>
      <c r="I40" s="93"/>
      <c r="J40" s="98">
        <f t="shared" si="0"/>
        <v>0</v>
      </c>
    </row>
    <row r="41" spans="1:10" ht="18" x14ac:dyDescent="0.25">
      <c r="A41" s="103">
        <v>37</v>
      </c>
      <c r="B41" s="165" t="s">
        <v>208</v>
      </c>
      <c r="C41" s="181"/>
      <c r="D41" s="181">
        <v>47.06</v>
      </c>
      <c r="E41" s="163"/>
      <c r="F41" s="163"/>
      <c r="G41" s="163"/>
      <c r="H41" s="163"/>
      <c r="I41" s="163"/>
      <c r="J41" s="98">
        <f t="shared" si="0"/>
        <v>0</v>
      </c>
    </row>
    <row r="42" spans="1:10" ht="18" x14ac:dyDescent="0.25">
      <c r="A42" s="103">
        <v>38</v>
      </c>
      <c r="B42" s="189" t="s">
        <v>190</v>
      </c>
      <c r="C42" s="93" t="s">
        <v>5</v>
      </c>
      <c r="D42" s="93">
        <v>48.15</v>
      </c>
      <c r="E42" s="162"/>
      <c r="F42" s="162"/>
      <c r="G42" s="162"/>
      <c r="H42" s="162"/>
      <c r="I42" s="162"/>
      <c r="J42" s="98">
        <f t="shared" si="0"/>
        <v>0</v>
      </c>
    </row>
    <row r="43" spans="1:10" ht="18.75" thickBot="1" x14ac:dyDescent="0.3">
      <c r="A43" s="120">
        <v>39</v>
      </c>
      <c r="B43" s="190" t="s">
        <v>204</v>
      </c>
      <c r="C43" s="162">
        <v>15</v>
      </c>
      <c r="D43" s="162">
        <v>50.32</v>
      </c>
      <c r="E43" s="181"/>
      <c r="F43" s="181"/>
      <c r="G43" s="181"/>
      <c r="H43" s="181"/>
      <c r="I43" s="181"/>
      <c r="J43" s="98">
        <f t="shared" si="0"/>
        <v>0</v>
      </c>
    </row>
  </sheetData>
  <autoFilter ref="A1:J37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</autoFilter>
  <sortState ref="B7:J9">
    <sortCondition descending="1" ref="J7:J9"/>
  </sortState>
  <mergeCells count="8">
    <mergeCell ref="A1:J2"/>
    <mergeCell ref="A3:A4"/>
    <mergeCell ref="B3:B4"/>
    <mergeCell ref="E3:F3"/>
    <mergeCell ref="G3:I3"/>
    <mergeCell ref="J3:J4"/>
    <mergeCell ref="C3:C4"/>
    <mergeCell ref="D3:D4"/>
  </mergeCells>
  <pageMargins left="0.70866141732283472" right="0.70866141732283472" top="0.74803149606299213" bottom="0.74803149606299213" header="0.31496062992125984" footer="0.31496062992125984"/>
  <pageSetup paperSize="9" scale="75" orientation="portrait" horizontalDpi="0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3"/>
  <sheetViews>
    <sheetView topLeftCell="A3" zoomScale="60" zoomScaleNormal="60" workbookViewId="0">
      <selection activeCell="A30" sqref="A30:XFD30"/>
    </sheetView>
  </sheetViews>
  <sheetFormatPr defaultRowHeight="15" x14ac:dyDescent="0.25"/>
  <cols>
    <col min="1" max="1" width="5.140625" customWidth="1"/>
    <col min="2" max="2" width="39.28515625" customWidth="1"/>
    <col min="3" max="3" width="7.7109375" customWidth="1"/>
    <col min="4" max="4" width="7.7109375" hidden="1" customWidth="1"/>
  </cols>
  <sheetData>
    <row r="1" spans="1:10" x14ac:dyDescent="0.25">
      <c r="A1" s="347" t="s">
        <v>211</v>
      </c>
      <c r="B1" s="348"/>
      <c r="C1" s="348"/>
      <c r="D1" s="348"/>
      <c r="E1" s="348"/>
      <c r="F1" s="348"/>
      <c r="G1" s="348"/>
      <c r="H1" s="348"/>
      <c r="I1" s="348"/>
      <c r="J1" s="349"/>
    </row>
    <row r="2" spans="1:10" ht="15.75" thickBot="1" x14ac:dyDescent="0.3">
      <c r="A2" s="350"/>
      <c r="B2" s="338"/>
      <c r="C2" s="338"/>
      <c r="D2" s="338"/>
      <c r="E2" s="338"/>
      <c r="F2" s="338"/>
      <c r="G2" s="338"/>
      <c r="H2" s="338"/>
      <c r="I2" s="338"/>
      <c r="J2" s="351"/>
    </row>
    <row r="3" spans="1:10" ht="16.5" thickBot="1" x14ac:dyDescent="0.3">
      <c r="A3" s="339"/>
      <c r="B3" s="341" t="s">
        <v>0</v>
      </c>
      <c r="C3" s="354" t="s">
        <v>4</v>
      </c>
      <c r="D3" s="354" t="s">
        <v>1</v>
      </c>
      <c r="E3" s="352" t="s">
        <v>63</v>
      </c>
      <c r="F3" s="353"/>
      <c r="G3" s="344" t="s">
        <v>2</v>
      </c>
      <c r="H3" s="344"/>
      <c r="I3" s="344"/>
      <c r="J3" s="345" t="s">
        <v>3</v>
      </c>
    </row>
    <row r="4" spans="1:10" ht="16.5" thickBot="1" x14ac:dyDescent="0.3">
      <c r="A4" s="340"/>
      <c r="B4" s="342"/>
      <c r="C4" s="355"/>
      <c r="D4" s="355"/>
      <c r="E4" s="3">
        <v>1</v>
      </c>
      <c r="F4" s="177">
        <v>2</v>
      </c>
      <c r="G4" s="5">
        <v>0</v>
      </c>
      <c r="H4" s="178">
        <v>1</v>
      </c>
      <c r="I4" s="130">
        <v>2</v>
      </c>
      <c r="J4" s="346"/>
    </row>
    <row r="5" spans="1:10" ht="18" x14ac:dyDescent="0.25">
      <c r="A5" s="131">
        <v>1</v>
      </c>
      <c r="B5" s="204" t="s">
        <v>191</v>
      </c>
      <c r="C5" s="208">
        <v>5</v>
      </c>
      <c r="D5" s="258"/>
      <c r="E5" s="213">
        <v>4</v>
      </c>
      <c r="F5" s="206">
        <v>1</v>
      </c>
      <c r="G5" s="258">
        <v>2.5</v>
      </c>
      <c r="H5" s="205">
        <f>14+6.6+2.5</f>
        <v>23.1</v>
      </c>
      <c r="I5" s="206">
        <f>17+8.8+2.5</f>
        <v>28.3</v>
      </c>
      <c r="J5" s="212">
        <f t="shared" ref="J5:J43" si="0">SUM(G5:I5)</f>
        <v>53.900000000000006</v>
      </c>
    </row>
    <row r="6" spans="1:10" ht="18.75" thickBot="1" x14ac:dyDescent="0.3">
      <c r="A6" s="54">
        <v>2</v>
      </c>
      <c r="B6" s="254" t="s">
        <v>196</v>
      </c>
      <c r="C6" s="255" t="s">
        <v>5</v>
      </c>
      <c r="D6" s="211"/>
      <c r="E6" s="256">
        <v>1</v>
      </c>
      <c r="F6" s="257">
        <v>4</v>
      </c>
      <c r="G6" s="211"/>
      <c r="H6" s="207">
        <f>17+1.4+2</f>
        <v>20.399999999999999</v>
      </c>
      <c r="I6" s="257">
        <f>14+5.4+1.5</f>
        <v>20.9</v>
      </c>
      <c r="J6" s="186">
        <f t="shared" si="0"/>
        <v>41.3</v>
      </c>
    </row>
    <row r="7" spans="1:10" ht="18" x14ac:dyDescent="0.25">
      <c r="A7" s="54">
        <v>3</v>
      </c>
      <c r="B7" s="259" t="s">
        <v>23</v>
      </c>
      <c r="C7" s="260" t="s">
        <v>5</v>
      </c>
      <c r="D7" s="209"/>
      <c r="E7" s="261">
        <v>3</v>
      </c>
      <c r="F7" s="262">
        <v>5</v>
      </c>
      <c r="G7" s="209">
        <v>1</v>
      </c>
      <c r="H7" s="263">
        <f>15+3.8+1.5</f>
        <v>20.3</v>
      </c>
      <c r="I7" s="262">
        <f>13+3.3+2</f>
        <v>18.3</v>
      </c>
      <c r="J7" s="212">
        <f t="shared" si="0"/>
        <v>39.6</v>
      </c>
    </row>
    <row r="8" spans="1:10" ht="18" x14ac:dyDescent="0.25">
      <c r="A8" s="54">
        <v>4</v>
      </c>
      <c r="B8" s="218" t="s">
        <v>218</v>
      </c>
      <c r="C8" s="215">
        <v>10</v>
      </c>
      <c r="D8" s="87"/>
      <c r="E8" s="138">
        <v>1</v>
      </c>
      <c r="F8" s="152">
        <v>2</v>
      </c>
      <c r="G8" s="87"/>
      <c r="H8" s="151">
        <f>11.5+2.1</f>
        <v>13.6</v>
      </c>
      <c r="I8" s="152">
        <f>16+0.5</f>
        <v>16.5</v>
      </c>
      <c r="J8" s="89">
        <f t="shared" si="0"/>
        <v>30.1</v>
      </c>
    </row>
    <row r="9" spans="1:10" ht="18" x14ac:dyDescent="0.25">
      <c r="A9" s="54">
        <v>5</v>
      </c>
      <c r="B9" s="168" t="s">
        <v>40</v>
      </c>
      <c r="C9" s="174">
        <v>20</v>
      </c>
      <c r="D9" s="150"/>
      <c r="E9" s="142">
        <v>2</v>
      </c>
      <c r="F9" s="98">
        <v>7</v>
      </c>
      <c r="G9" s="150"/>
      <c r="H9" s="91">
        <f>16+1</f>
        <v>17</v>
      </c>
      <c r="I9" s="98">
        <v>12</v>
      </c>
      <c r="J9" s="89">
        <f t="shared" si="0"/>
        <v>29</v>
      </c>
    </row>
    <row r="10" spans="1:10" ht="18" x14ac:dyDescent="0.25">
      <c r="A10" s="54">
        <v>6</v>
      </c>
      <c r="B10" s="168" t="s">
        <v>25</v>
      </c>
      <c r="C10" s="173">
        <v>17.5</v>
      </c>
      <c r="D10" s="249"/>
      <c r="E10" s="250">
        <v>7</v>
      </c>
      <c r="F10" s="251">
        <v>6</v>
      </c>
      <c r="G10" s="249">
        <v>0.5</v>
      </c>
      <c r="H10" s="252">
        <f>12</f>
        <v>12</v>
      </c>
      <c r="I10" s="251">
        <f>12.5+1</f>
        <v>13.5</v>
      </c>
      <c r="J10" s="253">
        <f t="shared" si="0"/>
        <v>26</v>
      </c>
    </row>
    <row r="11" spans="1:10" ht="18" x14ac:dyDescent="0.25">
      <c r="A11" s="54">
        <v>7</v>
      </c>
      <c r="B11" s="168" t="s">
        <v>175</v>
      </c>
      <c r="C11" s="173" t="s">
        <v>5</v>
      </c>
      <c r="D11" s="150"/>
      <c r="E11" s="142">
        <v>9</v>
      </c>
      <c r="F11" s="98">
        <v>1</v>
      </c>
      <c r="G11" s="150">
        <v>1.5</v>
      </c>
      <c r="H11" s="91">
        <v>11</v>
      </c>
      <c r="I11" s="98">
        <f>11+0.7</f>
        <v>11.7</v>
      </c>
      <c r="J11" s="89">
        <f t="shared" si="0"/>
        <v>24.2</v>
      </c>
    </row>
    <row r="12" spans="1:10" ht="18" x14ac:dyDescent="0.25">
      <c r="A12" s="54">
        <v>8</v>
      </c>
      <c r="B12" s="168" t="s">
        <v>134</v>
      </c>
      <c r="C12" s="215" t="s">
        <v>5</v>
      </c>
      <c r="D12" s="90"/>
      <c r="E12" s="138">
        <v>2</v>
      </c>
      <c r="F12" s="152">
        <v>8</v>
      </c>
      <c r="G12" s="90"/>
      <c r="H12" s="151">
        <f>10.5+2.8-3</f>
        <v>10.3</v>
      </c>
      <c r="I12" s="152">
        <v>11.5</v>
      </c>
      <c r="J12" s="89">
        <f t="shared" si="0"/>
        <v>21.8</v>
      </c>
    </row>
    <row r="13" spans="1:10" ht="18" x14ac:dyDescent="0.25">
      <c r="A13" s="54">
        <v>9</v>
      </c>
      <c r="B13" s="170" t="s">
        <v>49</v>
      </c>
      <c r="C13" s="174">
        <v>12.5</v>
      </c>
      <c r="D13" s="87"/>
      <c r="E13" s="142">
        <v>10</v>
      </c>
      <c r="F13" s="98">
        <v>2</v>
      </c>
      <c r="G13" s="87"/>
      <c r="H13" s="91">
        <f>10.5</f>
        <v>10.5</v>
      </c>
      <c r="I13" s="98">
        <f>10.5+0.7</f>
        <v>11.2</v>
      </c>
      <c r="J13" s="89">
        <f t="shared" si="0"/>
        <v>21.7</v>
      </c>
    </row>
    <row r="14" spans="1:10" ht="18" x14ac:dyDescent="0.25">
      <c r="A14" s="54">
        <v>10</v>
      </c>
      <c r="B14" s="166" t="s">
        <v>20</v>
      </c>
      <c r="C14" s="173" t="s">
        <v>5</v>
      </c>
      <c r="D14" s="90"/>
      <c r="E14" s="138">
        <v>8</v>
      </c>
      <c r="F14" s="152">
        <v>9</v>
      </c>
      <c r="G14" s="90"/>
      <c r="H14" s="151">
        <f>11.5+0.5</f>
        <v>12</v>
      </c>
      <c r="I14" s="152">
        <f>11-4</f>
        <v>7</v>
      </c>
      <c r="J14" s="89">
        <f t="shared" si="0"/>
        <v>19</v>
      </c>
    </row>
    <row r="15" spans="1:10" ht="18" x14ac:dyDescent="0.25">
      <c r="A15" s="54">
        <v>11</v>
      </c>
      <c r="B15" s="220" t="s">
        <v>133</v>
      </c>
      <c r="C15" s="219" t="s">
        <v>5</v>
      </c>
      <c r="D15" s="87"/>
      <c r="E15" s="142">
        <v>5</v>
      </c>
      <c r="F15" s="98">
        <v>3</v>
      </c>
      <c r="G15" s="87"/>
      <c r="H15" s="91">
        <f>13-4</f>
        <v>9</v>
      </c>
      <c r="I15" s="98">
        <v>9.5</v>
      </c>
      <c r="J15" s="89">
        <f t="shared" si="0"/>
        <v>18.5</v>
      </c>
    </row>
    <row r="16" spans="1:10" ht="18" x14ac:dyDescent="0.25">
      <c r="A16" s="54">
        <v>12</v>
      </c>
      <c r="B16" s="166" t="s">
        <v>217</v>
      </c>
      <c r="C16" s="175" t="s">
        <v>5</v>
      </c>
      <c r="D16" s="87"/>
      <c r="E16" s="138">
        <v>3</v>
      </c>
      <c r="F16" s="152">
        <v>8</v>
      </c>
      <c r="G16" s="87"/>
      <c r="H16" s="151">
        <f>9.5+4.9-4</f>
        <v>10.4</v>
      </c>
      <c r="I16" s="152">
        <f>8</f>
        <v>8</v>
      </c>
      <c r="J16" s="89">
        <f t="shared" si="0"/>
        <v>18.399999999999999</v>
      </c>
    </row>
    <row r="17" spans="1:10" ht="18" x14ac:dyDescent="0.25">
      <c r="A17" s="54">
        <v>13</v>
      </c>
      <c r="B17" s="168" t="s">
        <v>213</v>
      </c>
      <c r="C17" s="175">
        <v>7.5</v>
      </c>
      <c r="D17" s="150"/>
      <c r="E17" s="142">
        <v>5</v>
      </c>
      <c r="F17" s="98">
        <v>3</v>
      </c>
      <c r="G17" s="150"/>
      <c r="H17" s="91">
        <f>8.5+2.8</f>
        <v>11.3</v>
      </c>
      <c r="I17" s="98">
        <f>4+2.5</f>
        <v>6.5</v>
      </c>
      <c r="J17" s="89">
        <f t="shared" si="0"/>
        <v>17.8</v>
      </c>
    </row>
    <row r="18" spans="1:10" ht="18" x14ac:dyDescent="0.25">
      <c r="A18" s="54">
        <v>14</v>
      </c>
      <c r="B18" s="122" t="s">
        <v>59</v>
      </c>
      <c r="C18" s="175">
        <v>10</v>
      </c>
      <c r="D18" s="87"/>
      <c r="E18" s="142">
        <v>6</v>
      </c>
      <c r="F18" s="98">
        <v>2</v>
      </c>
      <c r="G18" s="87"/>
      <c r="H18" s="91">
        <f>7.5</f>
        <v>7.5</v>
      </c>
      <c r="I18" s="98">
        <f>5+3.5</f>
        <v>8.5</v>
      </c>
      <c r="J18" s="89">
        <f t="shared" si="0"/>
        <v>16</v>
      </c>
    </row>
    <row r="19" spans="1:10" ht="18" x14ac:dyDescent="0.25">
      <c r="A19" s="54">
        <v>15</v>
      </c>
      <c r="B19" s="168" t="s">
        <v>164</v>
      </c>
      <c r="C19" s="173">
        <v>2.5</v>
      </c>
      <c r="D19" s="248"/>
      <c r="E19" s="250">
        <v>6</v>
      </c>
      <c r="F19" s="251">
        <v>3</v>
      </c>
      <c r="G19" s="248">
        <v>2</v>
      </c>
      <c r="H19" s="252">
        <f>12.5+3.5-8</f>
        <v>8</v>
      </c>
      <c r="I19" s="251">
        <f>15+1.7-5-6</f>
        <v>5.6999999999999993</v>
      </c>
      <c r="J19" s="253">
        <f t="shared" si="0"/>
        <v>15.7</v>
      </c>
    </row>
    <row r="20" spans="1:10" ht="18" x14ac:dyDescent="0.25">
      <c r="A20" s="54">
        <v>16</v>
      </c>
      <c r="B20" s="168" t="s">
        <v>96</v>
      </c>
      <c r="C20" s="173" t="s">
        <v>5</v>
      </c>
      <c r="D20" s="87"/>
      <c r="E20" s="142">
        <v>4</v>
      </c>
      <c r="F20" s="98">
        <v>10</v>
      </c>
      <c r="G20" s="87"/>
      <c r="H20" s="91">
        <f>8.5-4</f>
        <v>4.5</v>
      </c>
      <c r="I20" s="98">
        <f>10.5</f>
        <v>10.5</v>
      </c>
      <c r="J20" s="89">
        <f t="shared" si="0"/>
        <v>15</v>
      </c>
    </row>
    <row r="21" spans="1:10" ht="18" x14ac:dyDescent="0.25">
      <c r="A21" s="54">
        <v>17</v>
      </c>
      <c r="B21" s="166" t="s">
        <v>170</v>
      </c>
      <c r="C21" s="173" t="s">
        <v>5</v>
      </c>
      <c r="D21" s="87"/>
      <c r="E21" s="138">
        <v>9</v>
      </c>
      <c r="F21" s="152">
        <v>7</v>
      </c>
      <c r="G21" s="87"/>
      <c r="H21" s="151">
        <f>6-1</f>
        <v>5</v>
      </c>
      <c r="I21" s="152">
        <f>6.5+2.1</f>
        <v>8.6</v>
      </c>
      <c r="J21" s="89">
        <f t="shared" si="0"/>
        <v>13.6</v>
      </c>
    </row>
    <row r="22" spans="1:10" ht="18" x14ac:dyDescent="0.25">
      <c r="A22" s="54">
        <v>18</v>
      </c>
      <c r="B22" s="122" t="s">
        <v>43</v>
      </c>
      <c r="C22" s="175" t="s">
        <v>5</v>
      </c>
      <c r="D22" s="125"/>
      <c r="E22" s="142">
        <v>2</v>
      </c>
      <c r="F22" s="98">
        <v>6</v>
      </c>
      <c r="G22" s="125"/>
      <c r="H22" s="91">
        <f>5+1.5</f>
        <v>6.5</v>
      </c>
      <c r="I22" s="98">
        <v>7</v>
      </c>
      <c r="J22" s="89">
        <f t="shared" si="0"/>
        <v>13.5</v>
      </c>
    </row>
    <row r="23" spans="1:10" ht="18" x14ac:dyDescent="0.25">
      <c r="A23" s="54">
        <v>19</v>
      </c>
      <c r="B23" s="168" t="s">
        <v>62</v>
      </c>
      <c r="C23" s="215" t="s">
        <v>5</v>
      </c>
      <c r="D23" s="87"/>
      <c r="E23" s="142">
        <v>3</v>
      </c>
      <c r="F23" s="98">
        <v>1</v>
      </c>
      <c r="G23" s="87"/>
      <c r="H23" s="91">
        <f>4+2.5-3</f>
        <v>3.5</v>
      </c>
      <c r="I23" s="98">
        <f>6+3</f>
        <v>9</v>
      </c>
      <c r="J23" s="89">
        <f t="shared" si="0"/>
        <v>12.5</v>
      </c>
    </row>
    <row r="24" spans="1:10" ht="18" x14ac:dyDescent="0.25">
      <c r="A24" s="54">
        <v>20</v>
      </c>
      <c r="B24" s="168" t="s">
        <v>214</v>
      </c>
      <c r="C24" s="221">
        <v>10</v>
      </c>
      <c r="D24" s="150"/>
      <c r="E24" s="129">
        <v>7</v>
      </c>
      <c r="F24" s="137">
        <v>10</v>
      </c>
      <c r="G24" s="150"/>
      <c r="H24" s="140">
        <v>7</v>
      </c>
      <c r="I24" s="137">
        <v>5</v>
      </c>
      <c r="J24" s="89">
        <f t="shared" si="0"/>
        <v>12</v>
      </c>
    </row>
    <row r="25" spans="1:10" ht="18" x14ac:dyDescent="0.25">
      <c r="A25" s="54">
        <v>21</v>
      </c>
      <c r="B25" s="168" t="s">
        <v>192</v>
      </c>
      <c r="C25" s="215" t="s">
        <v>5</v>
      </c>
      <c r="D25" s="87"/>
      <c r="E25" s="143">
        <v>8</v>
      </c>
      <c r="F25" s="144">
        <v>5</v>
      </c>
      <c r="G25" s="87"/>
      <c r="H25" s="94">
        <f>6.5-3</f>
        <v>3.5</v>
      </c>
      <c r="I25" s="144">
        <v>7.5</v>
      </c>
      <c r="J25" s="89">
        <f t="shared" si="0"/>
        <v>11</v>
      </c>
    </row>
    <row r="26" spans="1:10" ht="18" x14ac:dyDescent="0.25">
      <c r="A26" s="54">
        <v>22</v>
      </c>
      <c r="B26" s="218" t="s">
        <v>15</v>
      </c>
      <c r="C26" s="215">
        <v>5</v>
      </c>
      <c r="D26" s="87"/>
      <c r="E26" s="143">
        <v>10</v>
      </c>
      <c r="F26" s="144">
        <v>9</v>
      </c>
      <c r="G26" s="87"/>
      <c r="H26" s="94">
        <v>5.5</v>
      </c>
      <c r="I26" s="144">
        <v>5.5</v>
      </c>
      <c r="J26" s="89">
        <f t="shared" si="0"/>
        <v>11</v>
      </c>
    </row>
    <row r="27" spans="1:10" ht="18" x14ac:dyDescent="0.25">
      <c r="A27" s="54">
        <v>23</v>
      </c>
      <c r="B27" s="172" t="s">
        <v>126</v>
      </c>
      <c r="C27" s="219">
        <v>12.5</v>
      </c>
      <c r="D27" s="87"/>
      <c r="E27" s="142">
        <v>1</v>
      </c>
      <c r="F27" s="98">
        <v>4</v>
      </c>
      <c r="G27" s="87"/>
      <c r="H27" s="91">
        <f>6+3-5</f>
        <v>4</v>
      </c>
      <c r="I27" s="98">
        <f>8.5+1.4-5</f>
        <v>4.9000000000000004</v>
      </c>
      <c r="J27" s="89">
        <f t="shared" si="0"/>
        <v>8.9</v>
      </c>
    </row>
    <row r="28" spans="1:10" ht="18" x14ac:dyDescent="0.25">
      <c r="A28" s="54">
        <v>24</v>
      </c>
      <c r="B28" s="166" t="s">
        <v>240</v>
      </c>
      <c r="C28" s="176" t="s">
        <v>5</v>
      </c>
      <c r="D28" s="125"/>
      <c r="E28" s="142">
        <v>4</v>
      </c>
      <c r="F28" s="98">
        <v>4</v>
      </c>
      <c r="G28" s="87"/>
      <c r="H28" s="91">
        <f>3+1</f>
        <v>4</v>
      </c>
      <c r="I28" s="98">
        <f>3+1</f>
        <v>4</v>
      </c>
      <c r="J28" s="89">
        <f t="shared" si="0"/>
        <v>8</v>
      </c>
    </row>
    <row r="29" spans="1:10" ht="18" x14ac:dyDescent="0.25">
      <c r="A29" s="54">
        <v>25</v>
      </c>
      <c r="B29" s="122" t="s">
        <v>197</v>
      </c>
      <c r="C29" s="175">
        <v>20</v>
      </c>
      <c r="D29" s="150"/>
      <c r="E29" s="142">
        <v>5</v>
      </c>
      <c r="F29" s="98">
        <v>5</v>
      </c>
      <c r="G29" s="150"/>
      <c r="H29" s="91">
        <f>2</f>
        <v>2</v>
      </c>
      <c r="I29" s="98">
        <v>2</v>
      </c>
      <c r="J29" s="89">
        <f t="shared" si="0"/>
        <v>4</v>
      </c>
    </row>
    <row r="30" spans="1:10" ht="18" x14ac:dyDescent="0.25">
      <c r="A30" s="54">
        <v>26</v>
      </c>
      <c r="B30" s="166" t="s">
        <v>241</v>
      </c>
      <c r="C30" s="173" t="s">
        <v>5</v>
      </c>
      <c r="D30" s="87"/>
      <c r="E30" s="142">
        <v>8</v>
      </c>
      <c r="F30" s="98">
        <v>6</v>
      </c>
      <c r="G30" s="87"/>
      <c r="H30" s="91">
        <f>0.5+0.5</f>
        <v>1</v>
      </c>
      <c r="I30" s="98">
        <v>1.5</v>
      </c>
      <c r="J30" s="89">
        <f t="shared" si="0"/>
        <v>2.5</v>
      </c>
    </row>
    <row r="31" spans="1:10" ht="20.25" customHeight="1" x14ac:dyDescent="0.25">
      <c r="A31" s="56">
        <v>27</v>
      </c>
      <c r="B31" s="216" t="s">
        <v>215</v>
      </c>
      <c r="C31" s="217" t="s">
        <v>5</v>
      </c>
      <c r="D31" s="90"/>
      <c r="E31" s="138">
        <v>6</v>
      </c>
      <c r="F31" s="152">
        <v>8</v>
      </c>
      <c r="G31" s="90"/>
      <c r="H31" s="151">
        <v>1.5</v>
      </c>
      <c r="I31" s="152">
        <v>0.5</v>
      </c>
      <c r="J31" s="89">
        <f t="shared" si="0"/>
        <v>2</v>
      </c>
    </row>
    <row r="32" spans="1:10" ht="15.75" customHeight="1" x14ac:dyDescent="0.25">
      <c r="A32" s="123">
        <v>28</v>
      </c>
      <c r="B32" s="166" t="s">
        <v>212</v>
      </c>
      <c r="C32" s="173" t="s">
        <v>5</v>
      </c>
      <c r="D32" s="87"/>
      <c r="E32" s="143">
        <v>9</v>
      </c>
      <c r="F32" s="144">
        <v>7</v>
      </c>
      <c r="G32" s="87"/>
      <c r="H32" s="94">
        <v>0</v>
      </c>
      <c r="I32" s="144">
        <v>1</v>
      </c>
      <c r="J32" s="89">
        <f t="shared" si="0"/>
        <v>1</v>
      </c>
    </row>
    <row r="33" spans="1:10" ht="18" x14ac:dyDescent="0.25">
      <c r="A33" s="128">
        <v>29</v>
      </c>
      <c r="B33" s="216" t="s">
        <v>216</v>
      </c>
      <c r="C33" s="217">
        <v>5</v>
      </c>
      <c r="D33" s="150"/>
      <c r="E33" s="138">
        <v>7</v>
      </c>
      <c r="F33" s="152">
        <v>9</v>
      </c>
      <c r="G33" s="150"/>
      <c r="H33" s="151">
        <v>1</v>
      </c>
      <c r="I33" s="152">
        <v>0</v>
      </c>
      <c r="J33" s="89">
        <f t="shared" si="0"/>
        <v>1</v>
      </c>
    </row>
    <row r="34" spans="1:10" ht="18" x14ac:dyDescent="0.25">
      <c r="A34" s="139">
        <v>30</v>
      </c>
      <c r="B34" s="168" t="s">
        <v>242</v>
      </c>
      <c r="C34" s="174" t="s">
        <v>5</v>
      </c>
      <c r="D34" s="90"/>
      <c r="E34" s="142">
        <v>10</v>
      </c>
      <c r="F34" s="98">
        <v>10</v>
      </c>
      <c r="G34" s="87"/>
      <c r="H34" s="91">
        <v>0</v>
      </c>
      <c r="I34" s="98">
        <v>0</v>
      </c>
      <c r="J34" s="89">
        <f t="shared" si="0"/>
        <v>0</v>
      </c>
    </row>
    <row r="35" spans="1:10" ht="18" hidden="1" x14ac:dyDescent="0.25">
      <c r="A35" s="103">
        <v>31</v>
      </c>
      <c r="B35" s="171"/>
      <c r="C35" s="173"/>
      <c r="D35" s="87"/>
      <c r="E35" s="143"/>
      <c r="F35" s="144"/>
      <c r="G35" s="90"/>
      <c r="H35" s="94"/>
      <c r="I35" s="144"/>
      <c r="J35" s="89">
        <f t="shared" si="0"/>
        <v>0</v>
      </c>
    </row>
    <row r="36" spans="1:10" ht="18" hidden="1" x14ac:dyDescent="0.25">
      <c r="A36" s="103">
        <v>32</v>
      </c>
      <c r="B36" s="169"/>
      <c r="C36" s="173"/>
      <c r="D36" s="87"/>
      <c r="E36" s="142"/>
      <c r="F36" s="98"/>
      <c r="G36" s="87"/>
      <c r="H36" s="91"/>
      <c r="I36" s="98"/>
      <c r="J36" s="89">
        <f t="shared" si="0"/>
        <v>0</v>
      </c>
    </row>
    <row r="37" spans="1:10" ht="18" hidden="1" x14ac:dyDescent="0.25">
      <c r="A37" s="103">
        <v>33</v>
      </c>
      <c r="B37" s="166"/>
      <c r="C37" s="174"/>
      <c r="D37" s="90"/>
      <c r="E37" s="143"/>
      <c r="F37" s="144"/>
      <c r="G37" s="90"/>
      <c r="H37" s="94"/>
      <c r="I37" s="144"/>
      <c r="J37" s="89">
        <f t="shared" si="0"/>
        <v>0</v>
      </c>
    </row>
    <row r="38" spans="1:10" ht="18" hidden="1" x14ac:dyDescent="0.25">
      <c r="A38" s="103">
        <v>34</v>
      </c>
      <c r="B38" s="168"/>
      <c r="C38" s="173"/>
      <c r="D38" s="87"/>
      <c r="E38" s="142"/>
      <c r="F38" s="98"/>
      <c r="G38" s="87"/>
      <c r="H38" s="91"/>
      <c r="I38" s="98"/>
      <c r="J38" s="89">
        <f t="shared" si="0"/>
        <v>0</v>
      </c>
    </row>
    <row r="39" spans="1:10" ht="18" hidden="1" x14ac:dyDescent="0.25">
      <c r="A39" s="103">
        <v>35</v>
      </c>
      <c r="B39" s="167"/>
      <c r="C39" s="173"/>
      <c r="D39" s="87"/>
      <c r="E39" s="138"/>
      <c r="F39" s="152"/>
      <c r="G39" s="150"/>
      <c r="H39" s="151"/>
      <c r="I39" s="152"/>
      <c r="J39" s="89">
        <f t="shared" si="0"/>
        <v>0</v>
      </c>
    </row>
    <row r="40" spans="1:10" ht="18" hidden="1" x14ac:dyDescent="0.25">
      <c r="A40" s="103">
        <v>36</v>
      </c>
      <c r="B40" s="168"/>
      <c r="C40" s="173"/>
      <c r="D40" s="87"/>
      <c r="E40" s="142"/>
      <c r="F40" s="98"/>
      <c r="G40" s="87"/>
      <c r="H40" s="91"/>
      <c r="I40" s="98"/>
      <c r="J40" s="89">
        <f t="shared" si="0"/>
        <v>0</v>
      </c>
    </row>
    <row r="41" spans="1:10" ht="18" hidden="1" x14ac:dyDescent="0.25">
      <c r="A41" s="103">
        <v>37</v>
      </c>
      <c r="B41" s="122"/>
      <c r="C41" s="187"/>
      <c r="D41" s="210"/>
      <c r="E41" s="129"/>
      <c r="F41" s="137"/>
      <c r="G41" s="125"/>
      <c r="H41" s="140"/>
      <c r="I41" s="137"/>
      <c r="J41" s="89">
        <f t="shared" si="0"/>
        <v>0</v>
      </c>
    </row>
    <row r="42" spans="1:10" ht="18" hidden="1" x14ac:dyDescent="0.25">
      <c r="A42" s="103">
        <v>38</v>
      </c>
      <c r="B42" s="168"/>
      <c r="C42" s="173"/>
      <c r="D42" s="87"/>
      <c r="E42" s="138"/>
      <c r="F42" s="152"/>
      <c r="G42" s="150"/>
      <c r="H42" s="151"/>
      <c r="I42" s="152"/>
      <c r="J42" s="89">
        <f t="shared" si="0"/>
        <v>0</v>
      </c>
    </row>
    <row r="43" spans="1:10" ht="18.75" hidden="1" thickBot="1" x14ac:dyDescent="0.3">
      <c r="A43" s="120">
        <v>39</v>
      </c>
      <c r="B43" s="179"/>
      <c r="C43" s="180"/>
      <c r="D43" s="211"/>
      <c r="E43" s="184"/>
      <c r="F43" s="185"/>
      <c r="G43" s="214"/>
      <c r="H43" s="183"/>
      <c r="I43" s="185"/>
      <c r="J43" s="186">
        <f t="shared" si="0"/>
        <v>0</v>
      </c>
    </row>
  </sheetData>
  <autoFilter ref="A1:J37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</autoFilter>
  <sortState ref="B5:J34">
    <sortCondition descending="1" ref="J5:J34"/>
  </sortState>
  <mergeCells count="8">
    <mergeCell ref="A1:J2"/>
    <mergeCell ref="A3:A4"/>
    <mergeCell ref="B3:B4"/>
    <mergeCell ref="C3:C4"/>
    <mergeCell ref="D3:D4"/>
    <mergeCell ref="E3:F3"/>
    <mergeCell ref="G3:I3"/>
    <mergeCell ref="J3:J4"/>
  </mergeCells>
  <pageMargins left="0.70866141732283472" right="0.70866141732283472" top="0.74803149606299213" bottom="0.74803149606299213" header="0.31496062992125984" footer="0.31496062992125984"/>
  <pageSetup paperSize="9" scale="81" orientation="portrait" horizontalDpi="0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2"/>
  <sheetViews>
    <sheetView zoomScale="60" zoomScaleNormal="60" workbookViewId="0">
      <selection activeCell="B28" sqref="B28"/>
    </sheetView>
  </sheetViews>
  <sheetFormatPr defaultRowHeight="15" x14ac:dyDescent="0.25"/>
  <cols>
    <col min="1" max="1" width="5.140625" customWidth="1"/>
    <col min="2" max="2" width="39.28515625" customWidth="1"/>
    <col min="3" max="3" width="7.7109375" customWidth="1"/>
    <col min="4" max="4" width="7.7109375" hidden="1" customWidth="1"/>
  </cols>
  <sheetData>
    <row r="1" spans="1:10" x14ac:dyDescent="0.25">
      <c r="A1" s="347" t="s">
        <v>243</v>
      </c>
      <c r="B1" s="348"/>
      <c r="C1" s="348"/>
      <c r="D1" s="348"/>
      <c r="E1" s="348"/>
      <c r="F1" s="348"/>
      <c r="G1" s="348"/>
      <c r="H1" s="348"/>
      <c r="I1" s="348"/>
      <c r="J1" s="349"/>
    </row>
    <row r="2" spans="1:10" ht="15.75" thickBot="1" x14ac:dyDescent="0.3">
      <c r="A2" s="350"/>
      <c r="B2" s="338"/>
      <c r="C2" s="338"/>
      <c r="D2" s="338"/>
      <c r="E2" s="338"/>
      <c r="F2" s="338"/>
      <c r="G2" s="338"/>
      <c r="H2" s="338"/>
      <c r="I2" s="338"/>
      <c r="J2" s="351"/>
    </row>
    <row r="3" spans="1:10" ht="16.5" thickBot="1" x14ac:dyDescent="0.3">
      <c r="A3" s="339"/>
      <c r="B3" s="341" t="s">
        <v>0</v>
      </c>
      <c r="C3" s="354" t="s">
        <v>4</v>
      </c>
      <c r="D3" s="354" t="s">
        <v>1</v>
      </c>
      <c r="E3" s="352" t="s">
        <v>63</v>
      </c>
      <c r="F3" s="353"/>
      <c r="G3" s="344" t="s">
        <v>2</v>
      </c>
      <c r="H3" s="344"/>
      <c r="I3" s="344"/>
      <c r="J3" s="345" t="s">
        <v>3</v>
      </c>
    </row>
    <row r="4" spans="1:10" ht="16.5" thickBot="1" x14ac:dyDescent="0.3">
      <c r="A4" s="340"/>
      <c r="B4" s="342"/>
      <c r="C4" s="355"/>
      <c r="D4" s="355"/>
      <c r="E4" s="3">
        <v>1</v>
      </c>
      <c r="F4" s="177">
        <v>2</v>
      </c>
      <c r="G4" s="5">
        <v>0</v>
      </c>
      <c r="H4" s="178">
        <v>1</v>
      </c>
      <c r="I4" s="130">
        <v>2</v>
      </c>
      <c r="J4" s="346"/>
    </row>
    <row r="5" spans="1:10" ht="18" x14ac:dyDescent="0.25">
      <c r="A5" s="131">
        <v>1</v>
      </c>
      <c r="B5" s="274" t="s">
        <v>248</v>
      </c>
      <c r="C5" s="208">
        <v>12.5</v>
      </c>
      <c r="D5" s="209"/>
      <c r="E5" s="213">
        <v>3</v>
      </c>
      <c r="F5" s="206">
        <v>1</v>
      </c>
      <c r="G5" s="209">
        <v>2.5</v>
      </c>
      <c r="H5" s="205">
        <f>15+6.2+2</f>
        <v>23.2</v>
      </c>
      <c r="I5" s="206">
        <f>17+6.4+2.5</f>
        <v>25.9</v>
      </c>
      <c r="J5" s="212">
        <f t="shared" ref="J5:J32" si="0">SUM(G5:I5)</f>
        <v>51.599999999999994</v>
      </c>
    </row>
    <row r="6" spans="1:10" ht="18.75" thickBot="1" x14ac:dyDescent="0.3">
      <c r="A6" s="54">
        <v>2</v>
      </c>
      <c r="B6" s="275" t="s">
        <v>251</v>
      </c>
      <c r="C6" s="276"/>
      <c r="D6" s="277"/>
      <c r="E6" s="278">
        <v>5</v>
      </c>
      <c r="F6" s="279">
        <v>6</v>
      </c>
      <c r="G6" s="277">
        <v>2</v>
      </c>
      <c r="H6" s="280">
        <f>13+3.3+2.5</f>
        <v>18.8</v>
      </c>
      <c r="I6" s="279">
        <f>12.5+3.5+2</f>
        <v>18</v>
      </c>
      <c r="J6" s="281">
        <f t="shared" si="0"/>
        <v>38.799999999999997</v>
      </c>
    </row>
    <row r="7" spans="1:10" ht="18" x14ac:dyDescent="0.25">
      <c r="A7" s="54">
        <v>3</v>
      </c>
      <c r="B7" s="264" t="s">
        <v>175</v>
      </c>
      <c r="C7" s="273" t="s">
        <v>5</v>
      </c>
      <c r="D7" s="266"/>
      <c r="E7" s="141">
        <v>6</v>
      </c>
      <c r="F7" s="146">
        <v>3</v>
      </c>
      <c r="G7" s="266">
        <v>1</v>
      </c>
      <c r="H7" s="134">
        <f>12.5+1</f>
        <v>13.5</v>
      </c>
      <c r="I7" s="146">
        <f>15+2.8+0.5</f>
        <v>18.3</v>
      </c>
      <c r="J7" s="136">
        <f t="shared" si="0"/>
        <v>32.799999999999997</v>
      </c>
    </row>
    <row r="8" spans="1:10" ht="18" x14ac:dyDescent="0.25">
      <c r="A8" s="54">
        <v>4</v>
      </c>
      <c r="B8" s="166" t="s">
        <v>20</v>
      </c>
      <c r="C8" s="175" t="s">
        <v>5</v>
      </c>
      <c r="D8" s="87"/>
      <c r="E8" s="138">
        <v>2</v>
      </c>
      <c r="F8" s="152">
        <v>5</v>
      </c>
      <c r="G8" s="87"/>
      <c r="H8" s="151">
        <f>16+1.5</f>
        <v>17.5</v>
      </c>
      <c r="I8" s="152">
        <f>13</f>
        <v>13</v>
      </c>
      <c r="J8" s="89">
        <f t="shared" si="0"/>
        <v>30.5</v>
      </c>
    </row>
    <row r="9" spans="1:10" ht="18" x14ac:dyDescent="0.25">
      <c r="A9" s="54">
        <v>5</v>
      </c>
      <c r="B9" s="168" t="s">
        <v>49</v>
      </c>
      <c r="C9" s="173">
        <v>12.5</v>
      </c>
      <c r="D9" s="150"/>
      <c r="E9" s="142">
        <v>4</v>
      </c>
      <c r="F9" s="98">
        <v>2</v>
      </c>
      <c r="G9" s="150"/>
      <c r="H9" s="91">
        <f>9+3.5</f>
        <v>12.5</v>
      </c>
      <c r="I9" s="98">
        <f>16+1.5</f>
        <v>17.5</v>
      </c>
      <c r="J9" s="89">
        <f t="shared" si="0"/>
        <v>30</v>
      </c>
    </row>
    <row r="10" spans="1:10" ht="18" x14ac:dyDescent="0.25">
      <c r="A10" s="54">
        <v>6</v>
      </c>
      <c r="B10" s="168" t="s">
        <v>59</v>
      </c>
      <c r="C10" s="221">
        <v>7.5</v>
      </c>
      <c r="D10" s="150"/>
      <c r="E10" s="129">
        <v>1</v>
      </c>
      <c r="F10" s="137">
        <v>5</v>
      </c>
      <c r="G10" s="150"/>
      <c r="H10" s="140">
        <f>17</f>
        <v>17</v>
      </c>
      <c r="I10" s="137">
        <f>8+2.8</f>
        <v>10.8</v>
      </c>
      <c r="J10" s="89">
        <f t="shared" si="0"/>
        <v>27.8</v>
      </c>
    </row>
    <row r="11" spans="1:10" ht="18" x14ac:dyDescent="0.25">
      <c r="A11" s="54">
        <v>7</v>
      </c>
      <c r="B11" s="166" t="s">
        <v>19</v>
      </c>
      <c r="C11" s="173"/>
      <c r="D11" s="87"/>
      <c r="E11" s="142">
        <v>9</v>
      </c>
      <c r="F11" s="98">
        <v>8</v>
      </c>
      <c r="G11" s="87">
        <v>1.5</v>
      </c>
      <c r="H11" s="91">
        <f>11+1.5</f>
        <v>12.5</v>
      </c>
      <c r="I11" s="98">
        <f>11.5+1.5</f>
        <v>13</v>
      </c>
      <c r="J11" s="89">
        <f t="shared" si="0"/>
        <v>27</v>
      </c>
    </row>
    <row r="12" spans="1:10" ht="18" x14ac:dyDescent="0.25">
      <c r="A12" s="54">
        <v>8</v>
      </c>
      <c r="B12" s="166" t="s">
        <v>25</v>
      </c>
      <c r="C12" s="173">
        <v>15</v>
      </c>
      <c r="D12" s="87"/>
      <c r="E12" s="138">
        <v>8</v>
      </c>
      <c r="F12" s="152">
        <v>7</v>
      </c>
      <c r="G12" s="87">
        <v>0.5</v>
      </c>
      <c r="H12" s="151">
        <f>11.5+0.5</f>
        <v>12</v>
      </c>
      <c r="I12" s="152">
        <f>12+1</f>
        <v>13</v>
      </c>
      <c r="J12" s="89">
        <f t="shared" si="0"/>
        <v>25.5</v>
      </c>
    </row>
    <row r="13" spans="1:10" ht="18" x14ac:dyDescent="0.25">
      <c r="A13" s="54">
        <v>9</v>
      </c>
      <c r="B13" s="168" t="s">
        <v>249</v>
      </c>
      <c r="C13" s="215">
        <v>20</v>
      </c>
      <c r="D13" s="87"/>
      <c r="E13" s="142">
        <v>7</v>
      </c>
      <c r="F13" s="98">
        <v>3</v>
      </c>
      <c r="G13" s="87"/>
      <c r="H13" s="91">
        <f>12</f>
        <v>12</v>
      </c>
      <c r="I13" s="98">
        <f>10+2.1</f>
        <v>12.1</v>
      </c>
      <c r="J13" s="89">
        <f t="shared" si="0"/>
        <v>24.1</v>
      </c>
    </row>
    <row r="14" spans="1:10" ht="18" x14ac:dyDescent="0.25">
      <c r="A14" s="54">
        <v>10</v>
      </c>
      <c r="B14" s="216" t="s">
        <v>245</v>
      </c>
      <c r="C14" s="217">
        <v>17.5</v>
      </c>
      <c r="D14" s="249"/>
      <c r="E14" s="268">
        <v>1</v>
      </c>
      <c r="F14" s="270">
        <v>1</v>
      </c>
      <c r="G14" s="249"/>
      <c r="H14" s="272">
        <f>12</f>
        <v>12</v>
      </c>
      <c r="I14" s="270">
        <f>12</f>
        <v>12</v>
      </c>
      <c r="J14" s="253">
        <f t="shared" si="0"/>
        <v>24</v>
      </c>
    </row>
    <row r="15" spans="1:10" ht="18" x14ac:dyDescent="0.25">
      <c r="A15" s="54">
        <v>11</v>
      </c>
      <c r="B15" s="218" t="s">
        <v>205</v>
      </c>
      <c r="C15" s="215">
        <v>17.5</v>
      </c>
      <c r="D15" s="87"/>
      <c r="E15" s="143">
        <v>2</v>
      </c>
      <c r="F15" s="144">
        <v>9</v>
      </c>
      <c r="G15" s="87"/>
      <c r="H15" s="94">
        <f>11+0.7</f>
        <v>11.7</v>
      </c>
      <c r="I15" s="144">
        <f>11</f>
        <v>11</v>
      </c>
      <c r="J15" s="89">
        <f t="shared" si="0"/>
        <v>22.7</v>
      </c>
    </row>
    <row r="16" spans="1:10" ht="18" x14ac:dyDescent="0.25">
      <c r="A16" s="54">
        <v>12</v>
      </c>
      <c r="B16" s="168" t="s">
        <v>179</v>
      </c>
      <c r="C16" s="215">
        <v>5</v>
      </c>
      <c r="D16" s="90"/>
      <c r="E16" s="138">
        <v>4</v>
      </c>
      <c r="F16" s="152">
        <v>7</v>
      </c>
      <c r="G16" s="90"/>
      <c r="H16" s="151">
        <f>14</f>
        <v>14</v>
      </c>
      <c r="I16" s="152">
        <f>7+0.7-1</f>
        <v>6.7</v>
      </c>
      <c r="J16" s="89">
        <f t="shared" si="0"/>
        <v>20.7</v>
      </c>
    </row>
    <row r="17" spans="1:10" ht="18" x14ac:dyDescent="0.25">
      <c r="A17" s="54">
        <v>13</v>
      </c>
      <c r="B17" s="122" t="s">
        <v>96</v>
      </c>
      <c r="C17" s="175" t="s">
        <v>5</v>
      </c>
      <c r="D17" s="125"/>
      <c r="E17" s="142">
        <v>5</v>
      </c>
      <c r="F17" s="98">
        <v>2</v>
      </c>
      <c r="G17" s="125"/>
      <c r="H17" s="91">
        <f>8</f>
        <v>8</v>
      </c>
      <c r="I17" s="98">
        <f>11+1.4</f>
        <v>12.4</v>
      </c>
      <c r="J17" s="89">
        <f t="shared" si="0"/>
        <v>20.399999999999999</v>
      </c>
    </row>
    <row r="18" spans="1:10" ht="18" x14ac:dyDescent="0.25">
      <c r="A18" s="54">
        <v>14</v>
      </c>
      <c r="B18" s="168" t="s">
        <v>247</v>
      </c>
      <c r="C18" s="173" t="s">
        <v>5</v>
      </c>
      <c r="D18" s="248"/>
      <c r="E18" s="250">
        <v>9</v>
      </c>
      <c r="F18" s="251">
        <v>4</v>
      </c>
      <c r="G18" s="248"/>
      <c r="H18" s="252">
        <f>6</f>
        <v>6</v>
      </c>
      <c r="I18" s="251">
        <f>14</f>
        <v>14</v>
      </c>
      <c r="J18" s="253">
        <f t="shared" si="0"/>
        <v>20</v>
      </c>
    </row>
    <row r="19" spans="1:10" ht="18" x14ac:dyDescent="0.25">
      <c r="A19" s="54">
        <v>15</v>
      </c>
      <c r="B19" s="172" t="s">
        <v>62</v>
      </c>
      <c r="C19" s="219">
        <v>5</v>
      </c>
      <c r="D19" s="87"/>
      <c r="E19" s="142">
        <v>3</v>
      </c>
      <c r="F19" s="98">
        <v>8</v>
      </c>
      <c r="G19" s="87"/>
      <c r="H19" s="91">
        <f>10</f>
        <v>10</v>
      </c>
      <c r="I19" s="98">
        <f>6.5</f>
        <v>6.5</v>
      </c>
      <c r="J19" s="89">
        <f t="shared" si="0"/>
        <v>16.5</v>
      </c>
    </row>
    <row r="20" spans="1:10" ht="18" x14ac:dyDescent="0.25">
      <c r="A20" s="54">
        <v>16</v>
      </c>
      <c r="B20" s="122" t="s">
        <v>53</v>
      </c>
      <c r="C20" s="175" t="s">
        <v>5</v>
      </c>
      <c r="D20" s="87"/>
      <c r="E20" s="142">
        <v>6</v>
      </c>
      <c r="F20" s="98">
        <v>6</v>
      </c>
      <c r="G20" s="87"/>
      <c r="H20" s="91">
        <f>7.5+0.7</f>
        <v>8.1999999999999993</v>
      </c>
      <c r="I20" s="98">
        <f>7.5+0.7</f>
        <v>8.1999999999999993</v>
      </c>
      <c r="J20" s="89">
        <f t="shared" si="0"/>
        <v>16.399999999999999</v>
      </c>
    </row>
    <row r="21" spans="1:10" ht="18" x14ac:dyDescent="0.25">
      <c r="A21" s="54">
        <v>17</v>
      </c>
      <c r="B21" s="168" t="s">
        <v>126</v>
      </c>
      <c r="C21" s="173">
        <v>10</v>
      </c>
      <c r="D21" s="249"/>
      <c r="E21" s="250">
        <v>1</v>
      </c>
      <c r="F21" s="251">
        <v>2</v>
      </c>
      <c r="G21" s="249"/>
      <c r="H21" s="252">
        <f>7+1</f>
        <v>8</v>
      </c>
      <c r="I21" s="251">
        <f>6+1.5</f>
        <v>7.5</v>
      </c>
      <c r="J21" s="253">
        <f t="shared" si="0"/>
        <v>15.5</v>
      </c>
    </row>
    <row r="22" spans="1:10" ht="18" x14ac:dyDescent="0.25">
      <c r="A22" s="54">
        <v>18</v>
      </c>
      <c r="B22" s="122" t="s">
        <v>93</v>
      </c>
      <c r="C22" s="175">
        <v>7.5</v>
      </c>
      <c r="D22" s="150"/>
      <c r="E22" s="142">
        <v>8</v>
      </c>
      <c r="F22" s="98">
        <v>4</v>
      </c>
      <c r="G22" s="150"/>
      <c r="H22" s="91">
        <f>6.5</f>
        <v>6.5</v>
      </c>
      <c r="I22" s="98">
        <f>9</f>
        <v>9</v>
      </c>
      <c r="J22" s="89">
        <f t="shared" si="0"/>
        <v>15.5</v>
      </c>
    </row>
    <row r="23" spans="1:10" ht="18" x14ac:dyDescent="0.25">
      <c r="A23" s="54">
        <v>19</v>
      </c>
      <c r="B23" s="220" t="s">
        <v>15</v>
      </c>
      <c r="C23" s="219">
        <v>5</v>
      </c>
      <c r="D23" s="87"/>
      <c r="E23" s="142">
        <v>7</v>
      </c>
      <c r="F23" s="98">
        <v>3</v>
      </c>
      <c r="G23" s="87"/>
      <c r="H23" s="91">
        <f>7+0.7</f>
        <v>7.7</v>
      </c>
      <c r="I23" s="98">
        <f>5+2</f>
        <v>7</v>
      </c>
      <c r="J23" s="89">
        <f t="shared" si="0"/>
        <v>14.7</v>
      </c>
    </row>
    <row r="24" spans="1:10" ht="18" x14ac:dyDescent="0.25">
      <c r="A24" s="54">
        <v>20</v>
      </c>
      <c r="B24" s="218" t="s">
        <v>240</v>
      </c>
      <c r="C24" s="215" t="s">
        <v>5</v>
      </c>
      <c r="D24" s="265"/>
      <c r="E24" s="250">
        <v>4</v>
      </c>
      <c r="F24" s="251">
        <v>9</v>
      </c>
      <c r="G24" s="265"/>
      <c r="H24" s="252">
        <f>4+0.5</f>
        <v>4.5</v>
      </c>
      <c r="I24" s="251">
        <f>6</f>
        <v>6</v>
      </c>
      <c r="J24" s="253">
        <f t="shared" si="0"/>
        <v>10.5</v>
      </c>
    </row>
    <row r="25" spans="1:10" ht="18" x14ac:dyDescent="0.25">
      <c r="A25" s="54">
        <v>21</v>
      </c>
      <c r="B25" s="168" t="s">
        <v>250</v>
      </c>
      <c r="C25" s="215">
        <v>7.5</v>
      </c>
      <c r="D25" s="87"/>
      <c r="E25" s="143">
        <v>5</v>
      </c>
      <c r="F25" s="144">
        <v>4</v>
      </c>
      <c r="G25" s="87"/>
      <c r="H25" s="94">
        <f>3</f>
        <v>3</v>
      </c>
      <c r="I25" s="144">
        <f>4</f>
        <v>4</v>
      </c>
      <c r="J25" s="89">
        <f t="shared" si="0"/>
        <v>7</v>
      </c>
    </row>
    <row r="26" spans="1:10" ht="18" x14ac:dyDescent="0.25">
      <c r="A26" s="54">
        <v>22</v>
      </c>
      <c r="B26" s="166" t="s">
        <v>253</v>
      </c>
      <c r="C26" s="173" t="s">
        <v>5</v>
      </c>
      <c r="D26" s="90"/>
      <c r="E26" s="138">
        <v>6</v>
      </c>
      <c r="F26" s="152">
        <v>1</v>
      </c>
      <c r="G26" s="90"/>
      <c r="H26" s="151">
        <f>2.5+0.5</f>
        <v>3</v>
      </c>
      <c r="I26" s="152">
        <f>7+1-4</f>
        <v>4</v>
      </c>
      <c r="J26" s="89">
        <f t="shared" si="0"/>
        <v>7</v>
      </c>
    </row>
    <row r="27" spans="1:10" ht="18" x14ac:dyDescent="0.25">
      <c r="A27" s="54">
        <v>23</v>
      </c>
      <c r="B27" s="170" t="s">
        <v>133</v>
      </c>
      <c r="C27" s="174" t="s">
        <v>5</v>
      </c>
      <c r="D27" s="87"/>
      <c r="E27" s="142">
        <v>3</v>
      </c>
      <c r="F27" s="98">
        <v>5</v>
      </c>
      <c r="G27" s="87"/>
      <c r="H27" s="91">
        <f>5+2.5</f>
        <v>7.5</v>
      </c>
      <c r="I27" s="98">
        <f>3+0.5-4</f>
        <v>-0.5</v>
      </c>
      <c r="J27" s="89">
        <f t="shared" si="0"/>
        <v>7</v>
      </c>
    </row>
    <row r="28" spans="1:10" ht="18" x14ac:dyDescent="0.25">
      <c r="A28" s="54">
        <v>24</v>
      </c>
      <c r="B28" s="168" t="s">
        <v>246</v>
      </c>
      <c r="C28" s="175">
        <v>10</v>
      </c>
      <c r="D28" s="150"/>
      <c r="E28" s="142">
        <v>9</v>
      </c>
      <c r="F28" s="98">
        <v>8</v>
      </c>
      <c r="G28" s="150"/>
      <c r="H28" s="91">
        <f>1</f>
        <v>1</v>
      </c>
      <c r="I28" s="98">
        <f>1.5</f>
        <v>1.5</v>
      </c>
      <c r="J28" s="89">
        <f t="shared" si="0"/>
        <v>2.5</v>
      </c>
    </row>
    <row r="29" spans="1:10" ht="18" x14ac:dyDescent="0.25">
      <c r="A29" s="54">
        <v>25</v>
      </c>
      <c r="B29" s="218" t="s">
        <v>194</v>
      </c>
      <c r="C29" s="215" t="s">
        <v>5</v>
      </c>
      <c r="D29" s="87"/>
      <c r="E29" s="138">
        <v>2</v>
      </c>
      <c r="F29" s="152">
        <v>7</v>
      </c>
      <c r="G29" s="87"/>
      <c r="H29" s="151">
        <f>6+2.5-8</f>
        <v>0.5</v>
      </c>
      <c r="I29" s="152">
        <f>2+1-4</f>
        <v>-1</v>
      </c>
      <c r="J29" s="89">
        <f t="shared" si="0"/>
        <v>-0.5</v>
      </c>
    </row>
    <row r="30" spans="1:10" ht="20.25" customHeight="1" x14ac:dyDescent="0.25">
      <c r="A30" s="56">
        <v>26</v>
      </c>
      <c r="B30" s="166" t="s">
        <v>134</v>
      </c>
      <c r="C30" s="176" t="s">
        <v>5</v>
      </c>
      <c r="D30" s="125"/>
      <c r="E30" s="142">
        <v>7</v>
      </c>
      <c r="F30" s="98">
        <v>6</v>
      </c>
      <c r="G30" s="87"/>
      <c r="H30" s="91">
        <f>2</f>
        <v>2</v>
      </c>
      <c r="I30" s="98">
        <f>2.5-5-4</f>
        <v>-6.5</v>
      </c>
      <c r="J30" s="89">
        <f t="shared" si="0"/>
        <v>-4.5</v>
      </c>
    </row>
    <row r="31" spans="1:10" ht="15.75" customHeight="1" x14ac:dyDescent="0.25">
      <c r="A31" s="123">
        <v>27</v>
      </c>
      <c r="B31" s="220" t="s">
        <v>244</v>
      </c>
      <c r="C31" s="215">
        <v>20</v>
      </c>
      <c r="D31" s="248"/>
      <c r="E31" s="267">
        <v>8</v>
      </c>
      <c r="F31" s="269">
        <v>9</v>
      </c>
      <c r="G31" s="248"/>
      <c r="H31" s="271">
        <f>1.5-8</f>
        <v>-6.5</v>
      </c>
      <c r="I31" s="269">
        <f>1</f>
        <v>1</v>
      </c>
      <c r="J31" s="253">
        <f t="shared" si="0"/>
        <v>-5.5</v>
      </c>
    </row>
    <row r="32" spans="1:10" ht="18" x14ac:dyDescent="0.25">
      <c r="A32" s="54">
        <v>28</v>
      </c>
      <c r="B32" s="166" t="s">
        <v>252</v>
      </c>
      <c r="C32" s="173" t="s">
        <v>5</v>
      </c>
      <c r="D32" s="87"/>
      <c r="E32" s="143"/>
      <c r="F32" s="144"/>
      <c r="G32" s="87"/>
      <c r="H32" s="94"/>
      <c r="I32" s="144"/>
      <c r="J32" s="89">
        <f t="shared" si="0"/>
        <v>0</v>
      </c>
    </row>
  </sheetData>
  <autoFilter ref="A1:J3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</autoFilter>
  <sortState ref="B5:J32">
    <sortCondition descending="1" ref="J5:J32"/>
  </sortState>
  <mergeCells count="8">
    <mergeCell ref="A1:J2"/>
    <mergeCell ref="A3:A4"/>
    <mergeCell ref="B3:B4"/>
    <mergeCell ref="C3:C4"/>
    <mergeCell ref="D3:D4"/>
    <mergeCell ref="E3:F3"/>
    <mergeCell ref="G3:I3"/>
    <mergeCell ref="J3:J4"/>
  </mergeCells>
  <pageMargins left="0.70866141732283472" right="0.70866141732283472" top="0.74803149606299213" bottom="0.74803149606299213" header="0.31496062992125984" footer="0.31496062992125984"/>
  <pageSetup paperSize="9" scale="81" orientation="portrait" horizontalDpi="0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2"/>
  <sheetViews>
    <sheetView zoomScale="60" zoomScaleNormal="60" workbookViewId="0">
      <selection activeCell="A17" sqref="A17:XFD17"/>
    </sheetView>
  </sheetViews>
  <sheetFormatPr defaultRowHeight="15" x14ac:dyDescent="0.25"/>
  <cols>
    <col min="1" max="1" width="5.140625" customWidth="1"/>
    <col min="2" max="2" width="39.28515625" customWidth="1"/>
    <col min="3" max="3" width="7.7109375" customWidth="1"/>
    <col min="4" max="4" width="7.7109375" hidden="1" customWidth="1"/>
  </cols>
  <sheetData>
    <row r="1" spans="1:10" x14ac:dyDescent="0.25">
      <c r="A1" s="347" t="s">
        <v>254</v>
      </c>
      <c r="B1" s="348"/>
      <c r="C1" s="348"/>
      <c r="D1" s="348"/>
      <c r="E1" s="348"/>
      <c r="F1" s="348"/>
      <c r="G1" s="348"/>
      <c r="H1" s="348"/>
      <c r="I1" s="348"/>
      <c r="J1" s="349"/>
    </row>
    <row r="2" spans="1:10" ht="15.75" thickBot="1" x14ac:dyDescent="0.3">
      <c r="A2" s="350"/>
      <c r="B2" s="338"/>
      <c r="C2" s="338"/>
      <c r="D2" s="338"/>
      <c r="E2" s="338"/>
      <c r="F2" s="338"/>
      <c r="G2" s="338"/>
      <c r="H2" s="338"/>
      <c r="I2" s="338"/>
      <c r="J2" s="351"/>
    </row>
    <row r="3" spans="1:10" ht="16.5" thickBot="1" x14ac:dyDescent="0.3">
      <c r="A3" s="339"/>
      <c r="B3" s="341" t="s">
        <v>0</v>
      </c>
      <c r="C3" s="354" t="s">
        <v>4</v>
      </c>
      <c r="D3" s="354" t="s">
        <v>1</v>
      </c>
      <c r="E3" s="352" t="s">
        <v>63</v>
      </c>
      <c r="F3" s="353"/>
      <c r="G3" s="344" t="s">
        <v>2</v>
      </c>
      <c r="H3" s="344"/>
      <c r="I3" s="344"/>
      <c r="J3" s="345" t="s">
        <v>3</v>
      </c>
    </row>
    <row r="4" spans="1:10" ht="16.5" thickBot="1" x14ac:dyDescent="0.3">
      <c r="A4" s="340"/>
      <c r="B4" s="342"/>
      <c r="C4" s="355"/>
      <c r="D4" s="355"/>
      <c r="E4" s="3">
        <v>1</v>
      </c>
      <c r="F4" s="177">
        <v>2</v>
      </c>
      <c r="G4" s="5">
        <v>0</v>
      </c>
      <c r="H4" s="178">
        <v>1</v>
      </c>
      <c r="I4" s="130">
        <v>2</v>
      </c>
      <c r="J4" s="346"/>
    </row>
    <row r="5" spans="1:10" ht="18" x14ac:dyDescent="0.25">
      <c r="A5" s="131">
        <v>1</v>
      </c>
      <c r="B5" s="259" t="s">
        <v>206</v>
      </c>
      <c r="C5" s="260">
        <v>7.5</v>
      </c>
      <c r="D5" s="258"/>
      <c r="E5" s="213">
        <v>3</v>
      </c>
      <c r="F5" s="206">
        <v>3</v>
      </c>
      <c r="G5" s="258">
        <v>2.5</v>
      </c>
      <c r="H5" s="205">
        <f>14+5+2.5</f>
        <v>21.5</v>
      </c>
      <c r="I5" s="206">
        <f>14+5+2.5</f>
        <v>21.5</v>
      </c>
      <c r="J5" s="212">
        <f t="shared" ref="J5:J28" si="0">SUM(G5:I5)</f>
        <v>45.5</v>
      </c>
    </row>
    <row r="6" spans="1:10" ht="18.75" thickBot="1" x14ac:dyDescent="0.3">
      <c r="A6" s="54">
        <v>2</v>
      </c>
      <c r="B6" s="147" t="s">
        <v>31</v>
      </c>
      <c r="C6" s="180">
        <v>7.5</v>
      </c>
      <c r="D6" s="100"/>
      <c r="E6" s="153">
        <v>8</v>
      </c>
      <c r="F6" s="101">
        <v>1</v>
      </c>
      <c r="G6" s="100">
        <v>2</v>
      </c>
      <c r="H6" s="115">
        <f>10.5</f>
        <v>10.5</v>
      </c>
      <c r="I6" s="101">
        <f>16+0.7+1</f>
        <v>17.7</v>
      </c>
      <c r="J6" s="186">
        <f t="shared" si="0"/>
        <v>30.2</v>
      </c>
    </row>
    <row r="7" spans="1:10" ht="18.75" thickBot="1" x14ac:dyDescent="0.3">
      <c r="A7" s="54">
        <v>3</v>
      </c>
      <c r="B7" s="286" t="s">
        <v>213</v>
      </c>
      <c r="C7" s="289">
        <v>7.5</v>
      </c>
      <c r="D7" s="133"/>
      <c r="E7" s="290">
        <v>4</v>
      </c>
      <c r="F7" s="291">
        <v>7</v>
      </c>
      <c r="G7" s="133">
        <v>0.5</v>
      </c>
      <c r="H7" s="292">
        <f>13+2</f>
        <v>15</v>
      </c>
      <c r="I7" s="291">
        <f>11+1.5</f>
        <v>12.5</v>
      </c>
      <c r="J7" s="136">
        <f t="shared" si="0"/>
        <v>28</v>
      </c>
    </row>
    <row r="8" spans="1:10" ht="18" x14ac:dyDescent="0.25">
      <c r="A8" s="54">
        <v>4</v>
      </c>
      <c r="B8" s="168" t="s">
        <v>38</v>
      </c>
      <c r="C8" s="174" t="s">
        <v>5</v>
      </c>
      <c r="D8" s="87"/>
      <c r="E8" s="142">
        <v>6</v>
      </c>
      <c r="F8" s="98">
        <v>2</v>
      </c>
      <c r="G8" s="87">
        <v>1</v>
      </c>
      <c r="H8" s="91">
        <f>11.5-4</f>
        <v>7.5</v>
      </c>
      <c r="I8" s="146">
        <f>15+0.7+2</f>
        <v>17.7</v>
      </c>
      <c r="J8" s="89">
        <f t="shared" si="0"/>
        <v>26.2</v>
      </c>
    </row>
    <row r="9" spans="1:10" ht="18" x14ac:dyDescent="0.25">
      <c r="A9" s="54">
        <v>5</v>
      </c>
      <c r="B9" s="216" t="s">
        <v>126</v>
      </c>
      <c r="C9" s="217">
        <v>12.5</v>
      </c>
      <c r="D9" s="90"/>
      <c r="E9" s="138">
        <v>3</v>
      </c>
      <c r="F9" s="152">
        <v>4</v>
      </c>
      <c r="G9" s="90"/>
      <c r="H9" s="151">
        <f>9.5+2.1</f>
        <v>11.6</v>
      </c>
      <c r="I9" s="152">
        <f>13+0.5</f>
        <v>13.5</v>
      </c>
      <c r="J9" s="89">
        <f t="shared" si="0"/>
        <v>25.1</v>
      </c>
    </row>
    <row r="10" spans="1:10" ht="18" x14ac:dyDescent="0.25">
      <c r="A10" s="54">
        <v>6</v>
      </c>
      <c r="B10" s="168" t="s">
        <v>21</v>
      </c>
      <c r="C10" s="215" t="s">
        <v>5</v>
      </c>
      <c r="D10" s="87"/>
      <c r="E10" s="142">
        <v>7</v>
      </c>
      <c r="F10" s="98">
        <v>5</v>
      </c>
      <c r="G10" s="87">
        <v>1.5</v>
      </c>
      <c r="H10" s="91">
        <f>11+0.5</f>
        <v>11.5</v>
      </c>
      <c r="I10" s="98">
        <f>12</f>
        <v>12</v>
      </c>
      <c r="J10" s="89">
        <f t="shared" si="0"/>
        <v>25</v>
      </c>
    </row>
    <row r="11" spans="1:10" ht="18" x14ac:dyDescent="0.25">
      <c r="A11" s="54">
        <v>7</v>
      </c>
      <c r="B11" s="218" t="s">
        <v>25</v>
      </c>
      <c r="C11" s="215">
        <v>15</v>
      </c>
      <c r="D11" s="249"/>
      <c r="E11" s="250">
        <v>2</v>
      </c>
      <c r="F11" s="251">
        <v>4</v>
      </c>
      <c r="G11" s="249"/>
      <c r="H11" s="252">
        <f>15</f>
        <v>15</v>
      </c>
      <c r="I11" s="251">
        <f>8.5+1.4</f>
        <v>9.9</v>
      </c>
      <c r="J11" s="253">
        <f t="shared" si="0"/>
        <v>24.9</v>
      </c>
    </row>
    <row r="12" spans="1:10" ht="18" x14ac:dyDescent="0.25">
      <c r="A12" s="54">
        <v>8</v>
      </c>
      <c r="B12" s="166" t="s">
        <v>179</v>
      </c>
      <c r="C12" s="173">
        <v>5</v>
      </c>
      <c r="D12" s="87"/>
      <c r="E12" s="142">
        <v>1</v>
      </c>
      <c r="F12" s="98">
        <v>6</v>
      </c>
      <c r="G12" s="87"/>
      <c r="H12" s="91">
        <f>16+0.7+1.5</f>
        <v>18.2</v>
      </c>
      <c r="I12" s="98">
        <f>11.5-3-3</f>
        <v>5.5</v>
      </c>
      <c r="J12" s="89">
        <f t="shared" si="0"/>
        <v>23.7</v>
      </c>
    </row>
    <row r="13" spans="1:10" ht="18" x14ac:dyDescent="0.25">
      <c r="A13" s="54">
        <v>9</v>
      </c>
      <c r="B13" s="172" t="s">
        <v>170</v>
      </c>
      <c r="C13" s="219" t="s">
        <v>5</v>
      </c>
      <c r="D13" s="248"/>
      <c r="E13" s="250">
        <v>2</v>
      </c>
      <c r="F13" s="251">
        <v>1</v>
      </c>
      <c r="G13" s="248"/>
      <c r="H13" s="252">
        <f>6+2.5</f>
        <v>8.5</v>
      </c>
      <c r="I13" s="251">
        <f>11.5</f>
        <v>11.5</v>
      </c>
      <c r="J13" s="253">
        <f t="shared" si="0"/>
        <v>20</v>
      </c>
    </row>
    <row r="14" spans="1:10" ht="18" x14ac:dyDescent="0.25">
      <c r="A14" s="54">
        <v>10</v>
      </c>
      <c r="B14" s="168" t="s">
        <v>59</v>
      </c>
      <c r="C14" s="215"/>
      <c r="D14" s="87"/>
      <c r="E14" s="138">
        <v>1</v>
      </c>
      <c r="F14" s="152">
        <v>5</v>
      </c>
      <c r="G14" s="87"/>
      <c r="H14" s="151">
        <f>11.5+0.7</f>
        <v>12.2</v>
      </c>
      <c r="I14" s="98">
        <f>9.5-3</f>
        <v>6.5</v>
      </c>
      <c r="J14" s="89">
        <f t="shared" si="0"/>
        <v>18.7</v>
      </c>
    </row>
    <row r="15" spans="1:10" ht="18" x14ac:dyDescent="0.25">
      <c r="A15" s="54">
        <v>11</v>
      </c>
      <c r="B15" s="168" t="s">
        <v>150</v>
      </c>
      <c r="C15" s="173">
        <v>2.5</v>
      </c>
      <c r="D15" s="87"/>
      <c r="E15" s="143">
        <v>7</v>
      </c>
      <c r="F15" s="144">
        <v>8</v>
      </c>
      <c r="G15" s="87"/>
      <c r="H15" s="94">
        <f>6.5+0.7+1</f>
        <v>8.1999999999999993</v>
      </c>
      <c r="I15" s="144">
        <f>10.5</f>
        <v>10.5</v>
      </c>
      <c r="J15" s="89">
        <f t="shared" si="0"/>
        <v>18.7</v>
      </c>
    </row>
    <row r="16" spans="1:10" ht="18" x14ac:dyDescent="0.25">
      <c r="A16" s="54">
        <v>12</v>
      </c>
      <c r="B16" s="166" t="s">
        <v>20</v>
      </c>
      <c r="C16" s="173" t="s">
        <v>5</v>
      </c>
      <c r="D16" s="150"/>
      <c r="E16" s="142">
        <v>5</v>
      </c>
      <c r="F16" s="98">
        <v>3</v>
      </c>
      <c r="G16" s="150"/>
      <c r="H16" s="91">
        <f>12</f>
        <v>12</v>
      </c>
      <c r="I16" s="98">
        <f>9.5-3</f>
        <v>6.5</v>
      </c>
      <c r="J16" s="89">
        <f t="shared" si="0"/>
        <v>18.5</v>
      </c>
    </row>
    <row r="17" spans="1:10" ht="18" x14ac:dyDescent="0.25">
      <c r="A17" s="54">
        <v>13</v>
      </c>
      <c r="B17" s="168" t="s">
        <v>49</v>
      </c>
      <c r="C17" s="215">
        <v>2.5</v>
      </c>
      <c r="D17" s="150"/>
      <c r="E17" s="129">
        <v>4</v>
      </c>
      <c r="F17" s="137">
        <v>2</v>
      </c>
      <c r="G17" s="150"/>
      <c r="H17" s="140">
        <f>8.5+2.1-4</f>
        <v>6.6</v>
      </c>
      <c r="I17" s="137">
        <f>10.5+1.4</f>
        <v>11.9</v>
      </c>
      <c r="J17" s="89">
        <f t="shared" si="0"/>
        <v>18.5</v>
      </c>
    </row>
    <row r="18" spans="1:10" ht="18" x14ac:dyDescent="0.25">
      <c r="A18" s="54">
        <v>14</v>
      </c>
      <c r="B18" s="218" t="s">
        <v>134</v>
      </c>
      <c r="C18" s="215" t="s">
        <v>5</v>
      </c>
      <c r="D18" s="87"/>
      <c r="E18" s="142">
        <v>5</v>
      </c>
      <c r="F18" s="98">
        <v>1</v>
      </c>
      <c r="G18" s="87"/>
      <c r="H18" s="91">
        <v>7.5</v>
      </c>
      <c r="I18" s="98">
        <f>7+1.5</f>
        <v>8.5</v>
      </c>
      <c r="J18" s="89">
        <f t="shared" si="0"/>
        <v>16</v>
      </c>
    </row>
    <row r="19" spans="1:10" ht="18" x14ac:dyDescent="0.25">
      <c r="A19" s="54">
        <v>15</v>
      </c>
      <c r="B19" s="122" t="s">
        <v>255</v>
      </c>
      <c r="C19" s="175" t="s">
        <v>5</v>
      </c>
      <c r="D19" s="150"/>
      <c r="E19" s="142">
        <v>1</v>
      </c>
      <c r="F19" s="98">
        <v>3</v>
      </c>
      <c r="G19" s="150"/>
      <c r="H19" s="91">
        <f>7+1</f>
        <v>8</v>
      </c>
      <c r="I19" s="98">
        <f>5+1</f>
        <v>6</v>
      </c>
      <c r="J19" s="89">
        <f t="shared" si="0"/>
        <v>14</v>
      </c>
    </row>
    <row r="20" spans="1:10" ht="18" x14ac:dyDescent="0.25">
      <c r="A20" s="54">
        <v>16</v>
      </c>
      <c r="B20" s="168" t="s">
        <v>40</v>
      </c>
      <c r="C20" s="173">
        <v>20</v>
      </c>
      <c r="D20" s="150"/>
      <c r="E20" s="142">
        <v>8</v>
      </c>
      <c r="F20" s="98">
        <v>6</v>
      </c>
      <c r="G20" s="150"/>
      <c r="H20" s="91">
        <f>6</f>
        <v>6</v>
      </c>
      <c r="I20" s="98">
        <f>7+0.7</f>
        <v>7.7</v>
      </c>
      <c r="J20" s="89">
        <f t="shared" si="0"/>
        <v>13.7</v>
      </c>
    </row>
    <row r="21" spans="1:10" ht="18" x14ac:dyDescent="0.25">
      <c r="A21" s="54">
        <v>17</v>
      </c>
      <c r="B21" s="170" t="s">
        <v>11</v>
      </c>
      <c r="C21" s="174">
        <v>12.5</v>
      </c>
      <c r="D21" s="249"/>
      <c r="E21" s="268">
        <v>2</v>
      </c>
      <c r="F21" s="270">
        <v>6</v>
      </c>
      <c r="G21" s="249"/>
      <c r="H21" s="272">
        <f>10.5</f>
        <v>10.5</v>
      </c>
      <c r="I21" s="270">
        <f>2.5+0.5</f>
        <v>3</v>
      </c>
      <c r="J21" s="89">
        <f t="shared" si="0"/>
        <v>13.5</v>
      </c>
    </row>
    <row r="22" spans="1:10" ht="18" x14ac:dyDescent="0.25">
      <c r="A22" s="54">
        <v>18</v>
      </c>
      <c r="B22" s="122" t="s">
        <v>62</v>
      </c>
      <c r="C22" s="175">
        <v>5</v>
      </c>
      <c r="D22" s="87"/>
      <c r="E22" s="142">
        <v>6</v>
      </c>
      <c r="F22" s="98">
        <v>7</v>
      </c>
      <c r="G22" s="87"/>
      <c r="H22" s="91">
        <f>7</f>
        <v>7</v>
      </c>
      <c r="I22" s="98">
        <f>6.5</f>
        <v>6.5</v>
      </c>
      <c r="J22" s="89">
        <f t="shared" si="0"/>
        <v>13.5</v>
      </c>
    </row>
    <row r="23" spans="1:10" ht="18" x14ac:dyDescent="0.25">
      <c r="A23" s="54">
        <v>19</v>
      </c>
      <c r="B23" s="220" t="s">
        <v>257</v>
      </c>
      <c r="C23" s="219" t="s">
        <v>5</v>
      </c>
      <c r="D23" s="87"/>
      <c r="E23" s="143">
        <v>3</v>
      </c>
      <c r="F23" s="144">
        <v>8</v>
      </c>
      <c r="G23" s="87"/>
      <c r="H23" s="94">
        <f>5+0.5</f>
        <v>5.5</v>
      </c>
      <c r="I23" s="144">
        <f>6</f>
        <v>6</v>
      </c>
      <c r="J23" s="89">
        <f t="shared" si="0"/>
        <v>11.5</v>
      </c>
    </row>
    <row r="24" spans="1:10" ht="18" x14ac:dyDescent="0.25">
      <c r="A24" s="54">
        <v>20</v>
      </c>
      <c r="B24" s="168" t="s">
        <v>197</v>
      </c>
      <c r="C24" s="215">
        <v>20</v>
      </c>
      <c r="D24" s="125"/>
      <c r="E24" s="142">
        <v>5</v>
      </c>
      <c r="F24" s="98">
        <v>2</v>
      </c>
      <c r="G24" s="125"/>
      <c r="H24" s="91">
        <f>3+0.5</f>
        <v>3.5</v>
      </c>
      <c r="I24" s="98">
        <f>6+0.5-4</f>
        <v>2.5</v>
      </c>
      <c r="J24" s="89">
        <f t="shared" si="0"/>
        <v>6</v>
      </c>
    </row>
    <row r="25" spans="1:10" ht="18" x14ac:dyDescent="0.25">
      <c r="A25" s="54">
        <v>21</v>
      </c>
      <c r="B25" s="168" t="s">
        <v>240</v>
      </c>
      <c r="C25" s="221" t="s">
        <v>5</v>
      </c>
      <c r="D25" s="150"/>
      <c r="E25" s="142">
        <v>4</v>
      </c>
      <c r="F25" s="98">
        <v>4</v>
      </c>
      <c r="G25" s="150"/>
      <c r="H25" s="91">
        <f>4+0.5</f>
        <v>4.5</v>
      </c>
      <c r="I25" s="98">
        <f>4+1-4</f>
        <v>1</v>
      </c>
      <c r="J25" s="89">
        <f t="shared" si="0"/>
        <v>5.5</v>
      </c>
    </row>
    <row r="26" spans="1:10" ht="18" x14ac:dyDescent="0.25">
      <c r="A26" s="54">
        <v>22</v>
      </c>
      <c r="B26" s="168" t="s">
        <v>256</v>
      </c>
      <c r="C26" s="173">
        <v>10</v>
      </c>
      <c r="D26" s="265"/>
      <c r="E26" s="267">
        <v>7</v>
      </c>
      <c r="F26" s="269">
        <v>5</v>
      </c>
      <c r="G26" s="265"/>
      <c r="H26" s="271">
        <f>2</f>
        <v>2</v>
      </c>
      <c r="I26" s="269">
        <f>3</f>
        <v>3</v>
      </c>
      <c r="J26" s="253">
        <f t="shared" si="0"/>
        <v>5</v>
      </c>
    </row>
    <row r="27" spans="1:10" ht="18" x14ac:dyDescent="0.25">
      <c r="A27" s="54">
        <v>23</v>
      </c>
      <c r="B27" s="166" t="s">
        <v>215</v>
      </c>
      <c r="C27" s="173" t="s">
        <v>5</v>
      </c>
      <c r="D27" s="249"/>
      <c r="E27" s="250">
        <v>6</v>
      </c>
      <c r="F27" s="251">
        <v>7</v>
      </c>
      <c r="G27" s="249"/>
      <c r="H27" s="252">
        <f>2.5</f>
        <v>2.5</v>
      </c>
      <c r="I27" s="251">
        <f>2</f>
        <v>2</v>
      </c>
      <c r="J27" s="253">
        <f t="shared" si="0"/>
        <v>4.5</v>
      </c>
    </row>
    <row r="28" spans="1:10" ht="18" x14ac:dyDescent="0.25">
      <c r="A28" s="54">
        <v>24</v>
      </c>
      <c r="B28" s="168" t="s">
        <v>175</v>
      </c>
      <c r="C28" s="175" t="s">
        <v>5</v>
      </c>
      <c r="D28" s="90"/>
      <c r="E28" s="138"/>
      <c r="F28" s="152"/>
      <c r="G28" s="90"/>
      <c r="H28" s="151"/>
      <c r="I28" s="152"/>
      <c r="J28" s="89">
        <f t="shared" si="0"/>
        <v>0</v>
      </c>
    </row>
    <row r="29" spans="1:10" ht="18" hidden="1" x14ac:dyDescent="0.25">
      <c r="A29" s="54">
        <v>25</v>
      </c>
      <c r="B29" s="218"/>
      <c r="C29" s="215"/>
      <c r="D29" s="87"/>
      <c r="E29" s="138"/>
      <c r="F29" s="152"/>
      <c r="G29" s="87"/>
      <c r="H29" s="151"/>
      <c r="I29" s="152"/>
      <c r="J29" s="89">
        <f t="shared" ref="J29:J32" si="1">SUM(G29:I29)</f>
        <v>0</v>
      </c>
    </row>
    <row r="30" spans="1:10" ht="20.25" hidden="1" customHeight="1" x14ac:dyDescent="0.25">
      <c r="A30" s="56">
        <v>26</v>
      </c>
      <c r="B30" s="166"/>
      <c r="C30" s="176"/>
      <c r="D30" s="125"/>
      <c r="E30" s="142"/>
      <c r="F30" s="98"/>
      <c r="G30" s="87"/>
      <c r="H30" s="91"/>
      <c r="I30" s="98"/>
      <c r="J30" s="89">
        <f t="shared" si="1"/>
        <v>0</v>
      </c>
    </row>
    <row r="31" spans="1:10" ht="15.75" hidden="1" customHeight="1" x14ac:dyDescent="0.25">
      <c r="A31" s="123">
        <v>27</v>
      </c>
      <c r="B31" s="220"/>
      <c r="C31" s="215"/>
      <c r="D31" s="248"/>
      <c r="E31" s="267"/>
      <c r="F31" s="269"/>
      <c r="G31" s="248"/>
      <c r="H31" s="271"/>
      <c r="I31" s="269"/>
      <c r="J31" s="253">
        <f t="shared" si="1"/>
        <v>0</v>
      </c>
    </row>
    <row r="32" spans="1:10" ht="18" hidden="1" x14ac:dyDescent="0.25">
      <c r="A32" s="54">
        <v>28</v>
      </c>
      <c r="B32" s="166"/>
      <c r="C32" s="173"/>
      <c r="D32" s="87"/>
      <c r="E32" s="143"/>
      <c r="F32" s="144"/>
      <c r="G32" s="87"/>
      <c r="H32" s="94"/>
      <c r="I32" s="144"/>
      <c r="J32" s="89">
        <f t="shared" si="1"/>
        <v>0</v>
      </c>
    </row>
  </sheetData>
  <autoFilter ref="A1:J3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</autoFilter>
  <sortState ref="B5:J28">
    <sortCondition descending="1" ref="J5:J28"/>
  </sortState>
  <mergeCells count="8">
    <mergeCell ref="A1:J2"/>
    <mergeCell ref="A3:A4"/>
    <mergeCell ref="B3:B4"/>
    <mergeCell ref="C3:C4"/>
    <mergeCell ref="D3:D4"/>
    <mergeCell ref="E3:F3"/>
    <mergeCell ref="G3:I3"/>
    <mergeCell ref="J3:J4"/>
  </mergeCells>
  <pageMargins left="0.70866141732283472" right="0.70866141732283472" top="0.74803149606299213" bottom="0.74803149606299213" header="0.31496062992125984" footer="0.31496062992125984"/>
  <pageSetup paperSize="9" scale="81" orientation="portrait" horizontalDpi="0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32"/>
  <sheetViews>
    <sheetView zoomScale="70" zoomScaleNormal="70" workbookViewId="0">
      <selection activeCell="A23" sqref="A23:XFD23"/>
    </sheetView>
  </sheetViews>
  <sheetFormatPr defaultRowHeight="15" x14ac:dyDescent="0.25"/>
  <cols>
    <col min="1" max="1" width="5.140625" customWidth="1"/>
    <col min="2" max="2" width="39.28515625" customWidth="1"/>
    <col min="3" max="3" width="7.7109375" customWidth="1"/>
    <col min="4" max="4" width="7.7109375" hidden="1" customWidth="1"/>
  </cols>
  <sheetData>
    <row r="1" spans="1:10" x14ac:dyDescent="0.25">
      <c r="A1" s="347" t="s">
        <v>258</v>
      </c>
      <c r="B1" s="348"/>
      <c r="C1" s="348"/>
      <c r="D1" s="348"/>
      <c r="E1" s="348"/>
      <c r="F1" s="348"/>
      <c r="G1" s="348"/>
      <c r="H1" s="348"/>
      <c r="I1" s="348"/>
      <c r="J1" s="349"/>
    </row>
    <row r="2" spans="1:10" ht="15.75" thickBot="1" x14ac:dyDescent="0.3">
      <c r="A2" s="350"/>
      <c r="B2" s="338"/>
      <c r="C2" s="338"/>
      <c r="D2" s="338"/>
      <c r="E2" s="338"/>
      <c r="F2" s="338"/>
      <c r="G2" s="338"/>
      <c r="H2" s="338"/>
      <c r="I2" s="338"/>
      <c r="J2" s="351"/>
    </row>
    <row r="3" spans="1:10" ht="16.5" thickBot="1" x14ac:dyDescent="0.3">
      <c r="A3" s="339"/>
      <c r="B3" s="341" t="s">
        <v>0</v>
      </c>
      <c r="C3" s="354" t="s">
        <v>4</v>
      </c>
      <c r="D3" s="354" t="s">
        <v>1</v>
      </c>
      <c r="E3" s="352" t="s">
        <v>63</v>
      </c>
      <c r="F3" s="353"/>
      <c r="G3" s="344" t="s">
        <v>2</v>
      </c>
      <c r="H3" s="344"/>
      <c r="I3" s="344"/>
      <c r="J3" s="345" t="s">
        <v>3</v>
      </c>
    </row>
    <row r="4" spans="1:10" ht="16.5" thickBot="1" x14ac:dyDescent="0.3">
      <c r="A4" s="340"/>
      <c r="B4" s="342"/>
      <c r="C4" s="355"/>
      <c r="D4" s="355"/>
      <c r="E4" s="3">
        <v>1</v>
      </c>
      <c r="F4" s="177">
        <v>2</v>
      </c>
      <c r="G4" s="5">
        <v>0</v>
      </c>
      <c r="H4" s="178">
        <v>1</v>
      </c>
      <c r="I4" s="130">
        <v>2</v>
      </c>
      <c r="J4" s="346"/>
    </row>
    <row r="5" spans="1:10" ht="18" x14ac:dyDescent="0.25">
      <c r="A5" s="131">
        <v>1</v>
      </c>
      <c r="B5" s="286" t="s">
        <v>19</v>
      </c>
      <c r="C5" s="288">
        <v>10</v>
      </c>
      <c r="D5" s="133"/>
      <c r="E5" s="141">
        <v>11</v>
      </c>
      <c r="F5" s="146">
        <v>3</v>
      </c>
      <c r="G5" s="133">
        <v>1.5</v>
      </c>
      <c r="H5" s="134">
        <f>9+2</f>
        <v>11</v>
      </c>
      <c r="I5" s="146">
        <f>14+7.5+2.5</f>
        <v>24</v>
      </c>
      <c r="J5" s="136">
        <f t="shared" ref="J5:J28" si="0">SUM(G5:I5)</f>
        <v>36.5</v>
      </c>
    </row>
    <row r="6" spans="1:10" ht="18.75" thickBot="1" x14ac:dyDescent="0.3">
      <c r="A6" s="54">
        <v>2</v>
      </c>
      <c r="B6" s="296" t="s">
        <v>6</v>
      </c>
      <c r="C6" s="297" t="s">
        <v>5</v>
      </c>
      <c r="D6" s="298"/>
      <c r="E6" s="299">
        <v>5</v>
      </c>
      <c r="F6" s="201">
        <v>9</v>
      </c>
      <c r="G6" s="298">
        <v>2.5</v>
      </c>
      <c r="H6" s="300">
        <f>12+5.9+2.5</f>
        <v>20.399999999999999</v>
      </c>
      <c r="I6" s="201">
        <f>10+2.6</f>
        <v>12.6</v>
      </c>
      <c r="J6" s="281">
        <f t="shared" si="0"/>
        <v>35.5</v>
      </c>
    </row>
    <row r="7" spans="1:10" ht="18.75" thickBot="1" x14ac:dyDescent="0.3">
      <c r="A7" s="54">
        <v>3</v>
      </c>
      <c r="B7" s="264" t="s">
        <v>51</v>
      </c>
      <c r="C7" s="273" t="s">
        <v>5</v>
      </c>
      <c r="D7" s="266"/>
      <c r="E7" s="294">
        <v>2</v>
      </c>
      <c r="F7" s="293">
        <v>1</v>
      </c>
      <c r="G7" s="266"/>
      <c r="H7" s="295">
        <f>15+3.5-4+0.5</f>
        <v>15</v>
      </c>
      <c r="I7" s="293">
        <f>16+5.2-4+1.5</f>
        <v>18.7</v>
      </c>
      <c r="J7" s="136">
        <f t="shared" si="0"/>
        <v>33.700000000000003</v>
      </c>
    </row>
    <row r="8" spans="1:10" ht="18" x14ac:dyDescent="0.25">
      <c r="A8" s="54">
        <v>4</v>
      </c>
      <c r="B8" s="168" t="s">
        <v>59</v>
      </c>
      <c r="C8" s="215">
        <v>10</v>
      </c>
      <c r="D8" s="90"/>
      <c r="E8" s="138">
        <v>1</v>
      </c>
      <c r="F8" s="152">
        <v>5</v>
      </c>
      <c r="G8" s="90"/>
      <c r="H8" s="151">
        <f>16+1.4+1</f>
        <v>18.399999999999999</v>
      </c>
      <c r="I8" s="291">
        <f>12+3.3-2+1</f>
        <v>14.3</v>
      </c>
      <c r="J8" s="89">
        <f t="shared" si="0"/>
        <v>32.700000000000003</v>
      </c>
    </row>
    <row r="9" spans="1:10" ht="18" x14ac:dyDescent="0.25">
      <c r="A9" s="54">
        <v>5</v>
      </c>
      <c r="B9" s="216" t="s">
        <v>25</v>
      </c>
      <c r="C9" s="217">
        <v>15</v>
      </c>
      <c r="D9" s="265"/>
      <c r="E9" s="250">
        <v>4</v>
      </c>
      <c r="F9" s="251">
        <v>2</v>
      </c>
      <c r="G9" s="265">
        <v>1</v>
      </c>
      <c r="H9" s="252">
        <f>13+4.2</f>
        <v>17.2</v>
      </c>
      <c r="I9" s="251">
        <f>15+0.7-4+2</f>
        <v>13.7</v>
      </c>
      <c r="J9" s="253">
        <f t="shared" si="0"/>
        <v>31.9</v>
      </c>
    </row>
    <row r="10" spans="1:10" ht="18" x14ac:dyDescent="0.25">
      <c r="A10" s="54">
        <v>6</v>
      </c>
      <c r="B10" s="218" t="s">
        <v>31</v>
      </c>
      <c r="C10" s="215" t="s">
        <v>263</v>
      </c>
      <c r="D10" s="249"/>
      <c r="E10" s="250">
        <v>9</v>
      </c>
      <c r="F10" s="251">
        <v>6</v>
      </c>
      <c r="G10" s="249">
        <v>2</v>
      </c>
      <c r="H10" s="252">
        <f>10+1.2+1.5</f>
        <v>12.7</v>
      </c>
      <c r="I10" s="251">
        <f>11.5+3.5</f>
        <v>15</v>
      </c>
      <c r="J10" s="253">
        <f t="shared" si="0"/>
        <v>29.7</v>
      </c>
    </row>
    <row r="11" spans="1:10" ht="18" x14ac:dyDescent="0.25">
      <c r="A11" s="54">
        <v>7</v>
      </c>
      <c r="B11" s="166" t="s">
        <v>15</v>
      </c>
      <c r="C11" s="175">
        <v>7.5</v>
      </c>
      <c r="D11" s="150"/>
      <c r="E11" s="142">
        <v>3</v>
      </c>
      <c r="F11" s="98">
        <v>7</v>
      </c>
      <c r="G11" s="150"/>
      <c r="H11" s="91">
        <f>14</f>
        <v>14</v>
      </c>
      <c r="I11" s="98">
        <f>11</f>
        <v>11</v>
      </c>
      <c r="J11" s="89">
        <f t="shared" si="0"/>
        <v>25</v>
      </c>
    </row>
    <row r="12" spans="1:10" ht="18" x14ac:dyDescent="0.25">
      <c r="A12" s="54">
        <v>8</v>
      </c>
      <c r="B12" s="220" t="s">
        <v>29</v>
      </c>
      <c r="C12" s="219"/>
      <c r="D12" s="87"/>
      <c r="E12" s="143">
        <v>6</v>
      </c>
      <c r="F12" s="144">
        <v>4</v>
      </c>
      <c r="G12" s="87"/>
      <c r="H12" s="94">
        <f>11.5</f>
        <v>11.5</v>
      </c>
      <c r="I12" s="144">
        <f>13</f>
        <v>13</v>
      </c>
      <c r="J12" s="89">
        <f t="shared" si="0"/>
        <v>24.5</v>
      </c>
    </row>
    <row r="13" spans="1:10" ht="18" x14ac:dyDescent="0.25">
      <c r="A13" s="54">
        <v>9</v>
      </c>
      <c r="B13" s="172" t="s">
        <v>126</v>
      </c>
      <c r="C13" s="219"/>
      <c r="D13" s="150"/>
      <c r="E13" s="142">
        <v>5</v>
      </c>
      <c r="F13" s="98">
        <v>2</v>
      </c>
      <c r="G13" s="150"/>
      <c r="H13" s="91">
        <f>6+2.8</f>
        <v>8.8000000000000007</v>
      </c>
      <c r="I13" s="98">
        <f>9+5.6</f>
        <v>14.6</v>
      </c>
      <c r="J13" s="89">
        <f t="shared" si="0"/>
        <v>23.4</v>
      </c>
    </row>
    <row r="14" spans="1:10" ht="18" x14ac:dyDescent="0.25">
      <c r="A14" s="54">
        <v>10</v>
      </c>
      <c r="B14" s="218" t="s">
        <v>213</v>
      </c>
      <c r="C14" s="215">
        <v>5</v>
      </c>
      <c r="D14" s="87"/>
      <c r="E14" s="142">
        <v>7</v>
      </c>
      <c r="F14" s="98">
        <v>10</v>
      </c>
      <c r="G14" s="87"/>
      <c r="H14" s="91">
        <f>11</f>
        <v>11</v>
      </c>
      <c r="I14" s="98">
        <f>9.5</f>
        <v>9.5</v>
      </c>
      <c r="J14" s="89">
        <f t="shared" si="0"/>
        <v>20.5</v>
      </c>
    </row>
    <row r="15" spans="1:10" ht="18" x14ac:dyDescent="0.25">
      <c r="A15" s="54">
        <v>11</v>
      </c>
      <c r="B15" s="122" t="s">
        <v>134</v>
      </c>
      <c r="C15" s="175" t="s">
        <v>5</v>
      </c>
      <c r="D15" s="87"/>
      <c r="E15" s="138">
        <v>1</v>
      </c>
      <c r="F15" s="152">
        <v>11</v>
      </c>
      <c r="G15" s="87"/>
      <c r="H15" s="151">
        <f>10+6.3</f>
        <v>16.3</v>
      </c>
      <c r="I15" s="98">
        <f>3</f>
        <v>3</v>
      </c>
      <c r="J15" s="89">
        <f t="shared" si="0"/>
        <v>19.3</v>
      </c>
    </row>
    <row r="16" spans="1:10" ht="18" x14ac:dyDescent="0.25">
      <c r="A16" s="54">
        <v>12</v>
      </c>
      <c r="B16" s="168" t="s">
        <v>150</v>
      </c>
      <c r="C16" s="215">
        <v>2.5</v>
      </c>
      <c r="D16" s="87"/>
      <c r="E16" s="142">
        <v>8</v>
      </c>
      <c r="F16" s="98">
        <v>8</v>
      </c>
      <c r="G16" s="87"/>
      <c r="H16" s="91">
        <f>10.5-4</f>
        <v>6.5</v>
      </c>
      <c r="I16" s="98">
        <f>10.5</f>
        <v>10.5</v>
      </c>
      <c r="J16" s="89">
        <f t="shared" si="0"/>
        <v>17</v>
      </c>
    </row>
    <row r="17" spans="1:33" ht="18" x14ac:dyDescent="0.25">
      <c r="A17" s="54">
        <v>13</v>
      </c>
      <c r="B17" s="168" t="s">
        <v>260</v>
      </c>
      <c r="C17" s="173">
        <v>10</v>
      </c>
      <c r="D17" s="87"/>
      <c r="E17" s="142">
        <v>2</v>
      </c>
      <c r="F17" s="98">
        <v>6</v>
      </c>
      <c r="G17" s="87"/>
      <c r="H17" s="91">
        <f>9</f>
        <v>9</v>
      </c>
      <c r="I17" s="98">
        <f>6+1.4</f>
        <v>7.4</v>
      </c>
      <c r="J17" s="89">
        <f t="shared" si="0"/>
        <v>16.399999999999999</v>
      </c>
    </row>
    <row r="18" spans="1:33" ht="18" x14ac:dyDescent="0.25">
      <c r="A18" s="54">
        <v>14</v>
      </c>
      <c r="B18" s="168" t="s">
        <v>62</v>
      </c>
      <c r="C18" s="173"/>
      <c r="D18" s="249"/>
      <c r="E18" s="268">
        <v>8</v>
      </c>
      <c r="F18" s="270">
        <v>3</v>
      </c>
      <c r="G18" s="249"/>
      <c r="H18" s="272">
        <f>4.5</f>
        <v>4.5</v>
      </c>
      <c r="I18" s="270">
        <f>8+3.5</f>
        <v>11.5</v>
      </c>
      <c r="J18" s="89">
        <f t="shared" si="0"/>
        <v>16</v>
      </c>
      <c r="O18" t="s">
        <v>263</v>
      </c>
    </row>
    <row r="19" spans="1:33" ht="18" x14ac:dyDescent="0.25">
      <c r="A19" s="54">
        <v>15</v>
      </c>
      <c r="B19" s="166" t="s">
        <v>20</v>
      </c>
      <c r="C19" s="173" t="s">
        <v>5</v>
      </c>
      <c r="D19" s="87"/>
      <c r="E19" s="138">
        <v>10</v>
      </c>
      <c r="F19" s="152">
        <v>11</v>
      </c>
      <c r="G19" s="87">
        <v>0.5</v>
      </c>
      <c r="H19" s="151">
        <f>9.5-4</f>
        <v>5.5</v>
      </c>
      <c r="I19" s="152">
        <f>9</f>
        <v>9</v>
      </c>
      <c r="J19" s="89">
        <f t="shared" si="0"/>
        <v>15</v>
      </c>
    </row>
    <row r="20" spans="1:33" ht="18" x14ac:dyDescent="0.25">
      <c r="A20" s="54">
        <v>16</v>
      </c>
      <c r="B20" s="168" t="s">
        <v>26</v>
      </c>
      <c r="C20" s="215"/>
      <c r="D20" s="125"/>
      <c r="E20" s="142">
        <v>3</v>
      </c>
      <c r="F20" s="98">
        <v>8</v>
      </c>
      <c r="G20" s="125"/>
      <c r="H20" s="91">
        <f>8+1.4</f>
        <v>9.4</v>
      </c>
      <c r="I20" s="98">
        <f>4.5+0.7</f>
        <v>5.2</v>
      </c>
      <c r="J20" s="89">
        <f t="shared" si="0"/>
        <v>14.600000000000001</v>
      </c>
    </row>
    <row r="21" spans="1:33" ht="18" x14ac:dyDescent="0.25">
      <c r="A21" s="54">
        <v>17</v>
      </c>
      <c r="B21" s="168" t="s">
        <v>262</v>
      </c>
      <c r="C21" s="221"/>
      <c r="D21" s="150"/>
      <c r="E21" s="142">
        <v>11</v>
      </c>
      <c r="F21" s="98">
        <v>1</v>
      </c>
      <c r="G21" s="150"/>
      <c r="H21" s="91">
        <f>3</f>
        <v>3</v>
      </c>
      <c r="I21" s="98">
        <f>10</f>
        <v>10</v>
      </c>
      <c r="J21" s="89">
        <f t="shared" si="0"/>
        <v>13</v>
      </c>
    </row>
    <row r="22" spans="1:33" ht="18" x14ac:dyDescent="0.25">
      <c r="A22" s="54">
        <v>18</v>
      </c>
      <c r="B22" s="216" t="s">
        <v>259</v>
      </c>
      <c r="C22" s="217" t="s">
        <v>5</v>
      </c>
      <c r="D22" s="87"/>
      <c r="E22" s="142">
        <v>9</v>
      </c>
      <c r="F22" s="98">
        <v>4</v>
      </c>
      <c r="G22" s="87"/>
      <c r="H22" s="91">
        <f>4</f>
        <v>4</v>
      </c>
      <c r="I22" s="98">
        <f>7</f>
        <v>7</v>
      </c>
      <c r="J22" s="89">
        <f t="shared" si="0"/>
        <v>11</v>
      </c>
    </row>
    <row r="23" spans="1:33" ht="18" x14ac:dyDescent="0.25">
      <c r="A23" s="54">
        <v>19</v>
      </c>
      <c r="B23" s="122" t="s">
        <v>197</v>
      </c>
      <c r="C23" s="175">
        <v>20</v>
      </c>
      <c r="D23" s="248"/>
      <c r="E23" s="250">
        <v>7</v>
      </c>
      <c r="F23" s="251">
        <v>6</v>
      </c>
      <c r="G23" s="248"/>
      <c r="H23" s="252">
        <f>5</f>
        <v>5</v>
      </c>
      <c r="I23" s="251">
        <f>5.5</f>
        <v>5.5</v>
      </c>
      <c r="J23" s="253">
        <f t="shared" si="0"/>
        <v>10.5</v>
      </c>
    </row>
    <row r="24" spans="1:33" ht="18" x14ac:dyDescent="0.25">
      <c r="A24" s="54">
        <v>20</v>
      </c>
      <c r="B24" s="122" t="s">
        <v>161</v>
      </c>
      <c r="C24" s="175" t="s">
        <v>5</v>
      </c>
      <c r="D24" s="87"/>
      <c r="E24" s="142">
        <v>4</v>
      </c>
      <c r="F24" s="98">
        <v>7</v>
      </c>
      <c r="G24" s="87"/>
      <c r="H24" s="91">
        <f>7-4</f>
        <v>3</v>
      </c>
      <c r="I24" s="98">
        <f>5</f>
        <v>5</v>
      </c>
      <c r="J24" s="89">
        <f t="shared" si="0"/>
        <v>8</v>
      </c>
      <c r="AG24" t="s">
        <v>263</v>
      </c>
    </row>
    <row r="25" spans="1:33" ht="18" x14ac:dyDescent="0.25">
      <c r="A25" s="54">
        <v>21</v>
      </c>
      <c r="B25" s="170" t="s">
        <v>261</v>
      </c>
      <c r="C25" s="174" t="s">
        <v>5</v>
      </c>
      <c r="D25" s="87"/>
      <c r="E25" s="143">
        <v>10</v>
      </c>
      <c r="F25" s="144">
        <v>9</v>
      </c>
      <c r="G25" s="87"/>
      <c r="H25" s="94">
        <f>3.5</f>
        <v>3.5</v>
      </c>
      <c r="I25" s="144">
        <f>4</f>
        <v>4</v>
      </c>
      <c r="J25" s="89">
        <f t="shared" si="0"/>
        <v>7.5</v>
      </c>
    </row>
    <row r="26" spans="1:33" ht="18" x14ac:dyDescent="0.25">
      <c r="A26" s="54">
        <v>22</v>
      </c>
      <c r="B26" s="168" t="s">
        <v>216</v>
      </c>
      <c r="C26" s="173"/>
      <c r="D26" s="265"/>
      <c r="E26" s="267">
        <v>6</v>
      </c>
      <c r="F26" s="269">
        <v>10</v>
      </c>
      <c r="G26" s="265"/>
      <c r="H26" s="271">
        <f>5.5</f>
        <v>5.5</v>
      </c>
      <c r="I26" s="269">
        <f>3.5-4</f>
        <v>-0.5</v>
      </c>
      <c r="J26" s="253">
        <f t="shared" si="0"/>
        <v>5</v>
      </c>
    </row>
    <row r="27" spans="1:33" ht="18" x14ac:dyDescent="0.25">
      <c r="A27" s="54">
        <v>23</v>
      </c>
      <c r="B27" s="166"/>
      <c r="C27" s="173"/>
      <c r="D27" s="249"/>
      <c r="E27" s="250"/>
      <c r="F27" s="251"/>
      <c r="G27" s="249"/>
      <c r="H27" s="252"/>
      <c r="I27" s="251"/>
      <c r="J27" s="253">
        <f t="shared" si="0"/>
        <v>0</v>
      </c>
    </row>
    <row r="28" spans="1:33" ht="18" x14ac:dyDescent="0.25">
      <c r="A28" s="54">
        <v>24</v>
      </c>
      <c r="B28" s="168"/>
      <c r="C28" s="175"/>
      <c r="D28" s="90"/>
      <c r="E28" s="138"/>
      <c r="F28" s="152"/>
      <c r="G28" s="90"/>
      <c r="H28" s="151"/>
      <c r="I28" s="152"/>
      <c r="J28" s="89">
        <f t="shared" si="0"/>
        <v>0</v>
      </c>
    </row>
    <row r="29" spans="1:33" ht="18" hidden="1" x14ac:dyDescent="0.25">
      <c r="A29" s="54">
        <v>25</v>
      </c>
      <c r="B29" s="218"/>
      <c r="C29" s="215"/>
      <c r="D29" s="87"/>
      <c r="E29" s="138"/>
      <c r="F29" s="152"/>
      <c r="G29" s="87"/>
      <c r="H29" s="151"/>
      <c r="I29" s="152"/>
      <c r="J29" s="89">
        <f t="shared" ref="J29:J32" si="1">SUM(G29:I29)</f>
        <v>0</v>
      </c>
    </row>
    <row r="30" spans="1:33" ht="20.25" hidden="1" customHeight="1" x14ac:dyDescent="0.25">
      <c r="A30" s="56">
        <v>26</v>
      </c>
      <c r="B30" s="166"/>
      <c r="C30" s="176"/>
      <c r="D30" s="125"/>
      <c r="E30" s="142"/>
      <c r="F30" s="98"/>
      <c r="G30" s="87"/>
      <c r="H30" s="91"/>
      <c r="I30" s="98"/>
      <c r="J30" s="89">
        <f t="shared" si="1"/>
        <v>0</v>
      </c>
    </row>
    <row r="31" spans="1:33" ht="15.75" hidden="1" customHeight="1" x14ac:dyDescent="0.25">
      <c r="A31" s="123">
        <v>27</v>
      </c>
      <c r="B31" s="220"/>
      <c r="C31" s="215"/>
      <c r="D31" s="248"/>
      <c r="E31" s="267"/>
      <c r="F31" s="269"/>
      <c r="G31" s="248"/>
      <c r="H31" s="271"/>
      <c r="I31" s="269"/>
      <c r="J31" s="253">
        <f t="shared" si="1"/>
        <v>0</v>
      </c>
    </row>
    <row r="32" spans="1:33" ht="18" hidden="1" x14ac:dyDescent="0.25">
      <c r="A32" s="54">
        <v>28</v>
      </c>
      <c r="B32" s="166"/>
      <c r="C32" s="173"/>
      <c r="D32" s="87"/>
      <c r="E32" s="143"/>
      <c r="F32" s="144"/>
      <c r="G32" s="87"/>
      <c r="H32" s="94"/>
      <c r="I32" s="144"/>
      <c r="J32" s="89">
        <f t="shared" si="1"/>
        <v>0</v>
      </c>
    </row>
  </sheetData>
  <autoFilter ref="A1:J3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</autoFilter>
  <sortState ref="B5:J26">
    <sortCondition descending="1" ref="J5:J26"/>
  </sortState>
  <mergeCells count="8">
    <mergeCell ref="A1:J2"/>
    <mergeCell ref="A3:A4"/>
    <mergeCell ref="B3:B4"/>
    <mergeCell ref="C3:C4"/>
    <mergeCell ref="D3:D4"/>
    <mergeCell ref="E3:F3"/>
    <mergeCell ref="G3:I3"/>
    <mergeCell ref="J3:J4"/>
  </mergeCells>
  <pageMargins left="0.70866141732283472" right="0.70866141732283472" top="0.74803149606299213" bottom="0.74803149606299213" header="0.31496062992125984" footer="0.31496062992125984"/>
  <pageSetup paperSize="9" scale="27" orientation="portrait" horizontalDpi="0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32"/>
  <sheetViews>
    <sheetView topLeftCell="A4" zoomScale="70" zoomScaleNormal="70" workbookViewId="0">
      <selection activeCell="A16" sqref="A16:XFD16"/>
    </sheetView>
  </sheetViews>
  <sheetFormatPr defaultRowHeight="15" x14ac:dyDescent="0.25"/>
  <cols>
    <col min="1" max="1" width="5.140625" customWidth="1"/>
    <col min="2" max="2" width="39.28515625" customWidth="1"/>
    <col min="3" max="3" width="7.7109375" customWidth="1"/>
    <col min="4" max="4" width="7.7109375" hidden="1" customWidth="1"/>
  </cols>
  <sheetData>
    <row r="1" spans="1:10" x14ac:dyDescent="0.25">
      <c r="A1" s="347" t="s">
        <v>258</v>
      </c>
      <c r="B1" s="348"/>
      <c r="C1" s="348"/>
      <c r="D1" s="348"/>
      <c r="E1" s="348"/>
      <c r="F1" s="348"/>
      <c r="G1" s="348"/>
      <c r="H1" s="348"/>
      <c r="I1" s="348"/>
      <c r="J1" s="349"/>
    </row>
    <row r="2" spans="1:10" ht="15.75" thickBot="1" x14ac:dyDescent="0.3">
      <c r="A2" s="350"/>
      <c r="B2" s="338"/>
      <c r="C2" s="338"/>
      <c r="D2" s="338"/>
      <c r="E2" s="338"/>
      <c r="F2" s="338"/>
      <c r="G2" s="338"/>
      <c r="H2" s="338"/>
      <c r="I2" s="338"/>
      <c r="J2" s="351"/>
    </row>
    <row r="3" spans="1:10" ht="16.5" thickBot="1" x14ac:dyDescent="0.3">
      <c r="A3" s="339"/>
      <c r="B3" s="341" t="s">
        <v>0</v>
      </c>
      <c r="C3" s="354" t="s">
        <v>4</v>
      </c>
      <c r="D3" s="354" t="s">
        <v>1</v>
      </c>
      <c r="E3" s="352" t="s">
        <v>63</v>
      </c>
      <c r="F3" s="353"/>
      <c r="G3" s="344" t="s">
        <v>2</v>
      </c>
      <c r="H3" s="344"/>
      <c r="I3" s="344"/>
      <c r="J3" s="345" t="s">
        <v>3</v>
      </c>
    </row>
    <row r="4" spans="1:10" ht="16.5" thickBot="1" x14ac:dyDescent="0.3">
      <c r="A4" s="340"/>
      <c r="B4" s="342"/>
      <c r="C4" s="355"/>
      <c r="D4" s="355"/>
      <c r="E4" s="3">
        <v>1</v>
      </c>
      <c r="F4" s="177">
        <v>2</v>
      </c>
      <c r="G4" s="5">
        <v>0</v>
      </c>
      <c r="H4" s="178">
        <v>1</v>
      </c>
      <c r="I4" s="130">
        <v>2</v>
      </c>
      <c r="J4" s="346"/>
    </row>
    <row r="5" spans="1:10" ht="18" x14ac:dyDescent="0.25">
      <c r="A5" s="131">
        <v>1</v>
      </c>
      <c r="B5" s="305" t="s">
        <v>6</v>
      </c>
      <c r="C5" s="306" t="s">
        <v>5</v>
      </c>
      <c r="D5" s="209"/>
      <c r="E5" s="261">
        <v>1</v>
      </c>
      <c r="F5" s="262">
        <v>1</v>
      </c>
      <c r="G5" s="209"/>
      <c r="H5" s="263">
        <f>16+2.2+2.5</f>
        <v>20.7</v>
      </c>
      <c r="I5" s="262">
        <f>16+5.7+2.5</f>
        <v>24.2</v>
      </c>
      <c r="J5" s="212">
        <f t="shared" ref="J5:J30" si="0">SUM(G5:I5)</f>
        <v>44.9</v>
      </c>
    </row>
    <row r="6" spans="1:10" ht="18.75" thickBot="1" x14ac:dyDescent="0.3">
      <c r="A6" s="54">
        <v>2</v>
      </c>
      <c r="B6" s="285" t="s">
        <v>179</v>
      </c>
      <c r="C6" s="287">
        <v>5</v>
      </c>
      <c r="D6" s="304"/>
      <c r="E6" s="301">
        <v>2</v>
      </c>
      <c r="F6" s="302">
        <v>2</v>
      </c>
      <c r="G6" s="304">
        <v>1.5</v>
      </c>
      <c r="H6" s="303">
        <f>15+4.5+1.5</f>
        <v>21</v>
      </c>
      <c r="I6" s="302">
        <f>15+3.5-4+2</f>
        <v>16.5</v>
      </c>
      <c r="J6" s="283">
        <f t="shared" si="0"/>
        <v>39</v>
      </c>
    </row>
    <row r="7" spans="1:10" ht="18.75" thickBot="1" x14ac:dyDescent="0.3">
      <c r="A7" s="54">
        <v>3</v>
      </c>
      <c r="B7" s="284" t="s">
        <v>25</v>
      </c>
      <c r="C7" s="282">
        <v>15</v>
      </c>
      <c r="D7" s="133"/>
      <c r="E7" s="141">
        <v>4</v>
      </c>
      <c r="F7" s="146">
        <v>5</v>
      </c>
      <c r="G7" s="133">
        <v>2</v>
      </c>
      <c r="H7" s="134">
        <f>13+4.2+2</f>
        <v>19.2</v>
      </c>
      <c r="I7" s="146">
        <f>12+2.1+1.5</f>
        <v>15.6</v>
      </c>
      <c r="J7" s="136">
        <f t="shared" si="0"/>
        <v>36.799999999999997</v>
      </c>
    </row>
    <row r="8" spans="1:10" ht="18" x14ac:dyDescent="0.25">
      <c r="A8" s="54">
        <v>4</v>
      </c>
      <c r="B8" s="216" t="s">
        <v>268</v>
      </c>
      <c r="C8" s="217" t="s">
        <v>5</v>
      </c>
      <c r="D8" s="150"/>
      <c r="E8" s="142">
        <v>1</v>
      </c>
      <c r="F8" s="98">
        <v>4</v>
      </c>
      <c r="G8" s="150"/>
      <c r="H8" s="91">
        <f>11+3.5</f>
        <v>14.5</v>
      </c>
      <c r="I8" s="146">
        <f>13+0.5</f>
        <v>13.5</v>
      </c>
      <c r="J8" s="89">
        <f t="shared" si="0"/>
        <v>28</v>
      </c>
    </row>
    <row r="9" spans="1:10" ht="18" x14ac:dyDescent="0.25">
      <c r="A9" s="54">
        <v>5</v>
      </c>
      <c r="B9" s="170" t="s">
        <v>31</v>
      </c>
      <c r="C9" s="174"/>
      <c r="D9" s="150"/>
      <c r="E9" s="142">
        <v>7</v>
      </c>
      <c r="F9" s="98">
        <v>3</v>
      </c>
      <c r="G9" s="150">
        <v>1</v>
      </c>
      <c r="H9" s="91">
        <f>11</f>
        <v>11</v>
      </c>
      <c r="I9" s="98">
        <f>14</f>
        <v>14</v>
      </c>
      <c r="J9" s="89">
        <f t="shared" si="0"/>
        <v>26</v>
      </c>
    </row>
    <row r="10" spans="1:10" ht="18" x14ac:dyDescent="0.25">
      <c r="A10" s="54">
        <v>6</v>
      </c>
      <c r="B10" s="168" t="s">
        <v>29</v>
      </c>
      <c r="C10" s="175">
        <v>2.5</v>
      </c>
      <c r="D10" s="90"/>
      <c r="E10" s="138">
        <v>3</v>
      </c>
      <c r="F10" s="152">
        <v>7</v>
      </c>
      <c r="G10" s="90"/>
      <c r="H10" s="151">
        <f>14+1</f>
        <v>15</v>
      </c>
      <c r="I10" s="152">
        <f>11</f>
        <v>11</v>
      </c>
      <c r="J10" s="89">
        <f t="shared" si="0"/>
        <v>26</v>
      </c>
    </row>
    <row r="11" spans="1:10" ht="18" x14ac:dyDescent="0.25">
      <c r="A11" s="54">
        <v>7</v>
      </c>
      <c r="B11" s="218" t="s">
        <v>270</v>
      </c>
      <c r="C11" s="215"/>
      <c r="D11" s="87"/>
      <c r="E11" s="138">
        <v>5</v>
      </c>
      <c r="F11" s="152">
        <v>6</v>
      </c>
      <c r="G11" s="87">
        <v>0.5</v>
      </c>
      <c r="H11" s="151">
        <f>12+0.5</f>
        <v>12.5</v>
      </c>
      <c r="I11" s="152">
        <f>11.5+1</f>
        <v>12.5</v>
      </c>
      <c r="J11" s="89">
        <f t="shared" si="0"/>
        <v>25.5</v>
      </c>
    </row>
    <row r="12" spans="1:10" ht="18" x14ac:dyDescent="0.25">
      <c r="A12" s="54">
        <v>8</v>
      </c>
      <c r="B12" s="166" t="s">
        <v>178</v>
      </c>
      <c r="C12" s="173" t="s">
        <v>5</v>
      </c>
      <c r="D12" s="87"/>
      <c r="E12" s="143">
        <v>3</v>
      </c>
      <c r="F12" s="144">
        <v>3</v>
      </c>
      <c r="G12" s="87"/>
      <c r="H12" s="94">
        <f>9+1.4</f>
        <v>10.4</v>
      </c>
      <c r="I12" s="144">
        <f>9+2.1</f>
        <v>11.1</v>
      </c>
      <c r="J12" s="89">
        <f t="shared" si="0"/>
        <v>21.5</v>
      </c>
    </row>
    <row r="13" spans="1:10" ht="18" x14ac:dyDescent="0.25">
      <c r="A13" s="54">
        <v>9</v>
      </c>
      <c r="B13" s="166" t="s">
        <v>150</v>
      </c>
      <c r="C13" s="175">
        <v>2.5</v>
      </c>
      <c r="D13" s="125"/>
      <c r="E13" s="142">
        <v>5</v>
      </c>
      <c r="F13" s="98">
        <v>8</v>
      </c>
      <c r="G13" s="125"/>
      <c r="H13" s="91">
        <f>7+2.1</f>
        <v>9.1</v>
      </c>
      <c r="I13" s="98">
        <f>10.5</f>
        <v>10.5</v>
      </c>
      <c r="J13" s="89">
        <f t="shared" si="0"/>
        <v>19.600000000000001</v>
      </c>
    </row>
    <row r="14" spans="1:10" ht="18" x14ac:dyDescent="0.25">
      <c r="A14" s="54">
        <v>10</v>
      </c>
      <c r="B14" s="168" t="s">
        <v>59</v>
      </c>
      <c r="C14" s="174"/>
      <c r="D14" s="90"/>
      <c r="E14" s="138">
        <v>9</v>
      </c>
      <c r="F14" s="152">
        <v>1</v>
      </c>
      <c r="G14" s="90"/>
      <c r="H14" s="151">
        <f>10.5</f>
        <v>10.5</v>
      </c>
      <c r="I14" s="152">
        <f>6.5+1.5</f>
        <v>8</v>
      </c>
      <c r="J14" s="89">
        <f t="shared" si="0"/>
        <v>18.5</v>
      </c>
    </row>
    <row r="15" spans="1:10" ht="18" x14ac:dyDescent="0.25">
      <c r="A15" s="54">
        <v>11</v>
      </c>
      <c r="B15" s="122" t="s">
        <v>269</v>
      </c>
      <c r="C15" s="175" t="s">
        <v>5</v>
      </c>
      <c r="D15" s="265"/>
      <c r="E15" s="250">
        <v>1</v>
      </c>
      <c r="F15" s="251">
        <v>2</v>
      </c>
      <c r="G15" s="265"/>
      <c r="H15" s="252">
        <f>6.5+1</f>
        <v>7.5</v>
      </c>
      <c r="I15" s="251">
        <f>10</f>
        <v>10</v>
      </c>
      <c r="J15" s="253">
        <f t="shared" si="0"/>
        <v>17.5</v>
      </c>
    </row>
    <row r="16" spans="1:10" ht="18" x14ac:dyDescent="0.25">
      <c r="A16" s="54">
        <v>12</v>
      </c>
      <c r="B16" s="307" t="s">
        <v>19</v>
      </c>
      <c r="C16" s="308">
        <v>10</v>
      </c>
      <c r="D16" s="309"/>
      <c r="E16" s="310">
        <v>6</v>
      </c>
      <c r="F16" s="197"/>
      <c r="G16" s="309">
        <v>2.5</v>
      </c>
      <c r="H16" s="311">
        <f>11.5+3.5</f>
        <v>15</v>
      </c>
      <c r="I16" s="197"/>
      <c r="J16" s="312">
        <f t="shared" si="0"/>
        <v>17.5</v>
      </c>
    </row>
    <row r="17" spans="1:33" ht="18" x14ac:dyDescent="0.25">
      <c r="A17" s="54">
        <v>13</v>
      </c>
      <c r="B17" s="168" t="s">
        <v>267</v>
      </c>
      <c r="C17" s="215">
        <v>7.5</v>
      </c>
      <c r="D17" s="87"/>
      <c r="E17" s="143">
        <v>3</v>
      </c>
      <c r="F17" s="144">
        <v>1</v>
      </c>
      <c r="G17" s="87"/>
      <c r="H17" s="94">
        <f>4.5+2</f>
        <v>6.5</v>
      </c>
      <c r="I17" s="144">
        <f>11</f>
        <v>11</v>
      </c>
      <c r="J17" s="89">
        <f t="shared" si="0"/>
        <v>17.5</v>
      </c>
    </row>
    <row r="18" spans="1:33" ht="18" x14ac:dyDescent="0.25">
      <c r="A18" s="54">
        <v>14</v>
      </c>
      <c r="B18" s="122" t="s">
        <v>134</v>
      </c>
      <c r="C18" s="175" t="s">
        <v>5</v>
      </c>
      <c r="D18" s="87"/>
      <c r="E18" s="142">
        <v>2</v>
      </c>
      <c r="F18" s="98">
        <v>6</v>
      </c>
      <c r="G18" s="87"/>
      <c r="H18" s="91">
        <f>10</f>
        <v>10</v>
      </c>
      <c r="I18" s="98">
        <f>6.5+0.7</f>
        <v>7.2</v>
      </c>
      <c r="J18" s="89">
        <f t="shared" si="0"/>
        <v>17.2</v>
      </c>
      <c r="O18" t="s">
        <v>263</v>
      </c>
    </row>
    <row r="19" spans="1:33" ht="18" x14ac:dyDescent="0.25">
      <c r="A19" s="54">
        <v>15</v>
      </c>
      <c r="B19" s="166" t="s">
        <v>264</v>
      </c>
      <c r="C19" s="173">
        <v>12.5</v>
      </c>
      <c r="D19" s="265"/>
      <c r="E19" s="267">
        <v>8</v>
      </c>
      <c r="F19" s="269">
        <v>4</v>
      </c>
      <c r="G19" s="265"/>
      <c r="H19" s="271">
        <f>10.5</f>
        <v>10.5</v>
      </c>
      <c r="I19" s="269">
        <f>3.5+2</f>
        <v>5.5</v>
      </c>
      <c r="J19" s="253">
        <f t="shared" si="0"/>
        <v>16</v>
      </c>
    </row>
    <row r="20" spans="1:33" ht="18" x14ac:dyDescent="0.25">
      <c r="A20" s="54">
        <v>16</v>
      </c>
      <c r="B20" s="216" t="s">
        <v>213</v>
      </c>
      <c r="C20" s="217">
        <v>7.5</v>
      </c>
      <c r="D20" s="150"/>
      <c r="E20" s="142">
        <v>2</v>
      </c>
      <c r="F20" s="98">
        <v>7</v>
      </c>
      <c r="G20" s="150"/>
      <c r="H20" s="91">
        <f>6.5+3</f>
        <v>9.5</v>
      </c>
      <c r="I20" s="98">
        <f>6</f>
        <v>6</v>
      </c>
      <c r="J20" s="89">
        <f t="shared" si="0"/>
        <v>15.5</v>
      </c>
    </row>
    <row r="21" spans="1:33" ht="18" x14ac:dyDescent="0.25">
      <c r="A21" s="54">
        <v>17</v>
      </c>
      <c r="B21" s="166" t="s">
        <v>126</v>
      </c>
      <c r="C21" s="176"/>
      <c r="D21" s="125"/>
      <c r="E21" s="142">
        <v>4</v>
      </c>
      <c r="F21" s="98">
        <v>5</v>
      </c>
      <c r="G21" s="87"/>
      <c r="H21" s="91">
        <v>8</v>
      </c>
      <c r="I21" s="98">
        <f>7</f>
        <v>7</v>
      </c>
      <c r="J21" s="89">
        <f t="shared" si="0"/>
        <v>15</v>
      </c>
    </row>
    <row r="22" spans="1:33" ht="18" x14ac:dyDescent="0.25">
      <c r="A22" s="54">
        <v>18</v>
      </c>
      <c r="B22" s="218" t="s">
        <v>11</v>
      </c>
      <c r="C22" s="215">
        <v>12.5</v>
      </c>
      <c r="D22" s="87"/>
      <c r="E22" s="142">
        <v>7</v>
      </c>
      <c r="F22" s="98">
        <v>4</v>
      </c>
      <c r="G22" s="87"/>
      <c r="H22" s="91">
        <f>6</f>
        <v>6</v>
      </c>
      <c r="I22" s="98">
        <f>8+0.7-4</f>
        <v>4.6999999999999993</v>
      </c>
      <c r="J22" s="89">
        <f t="shared" si="0"/>
        <v>10.7</v>
      </c>
    </row>
    <row r="23" spans="1:33" ht="18" x14ac:dyDescent="0.25">
      <c r="A23" s="54">
        <v>19</v>
      </c>
      <c r="B23" s="168" t="s">
        <v>197</v>
      </c>
      <c r="C23" s="221">
        <v>20</v>
      </c>
      <c r="D23" s="87"/>
      <c r="E23" s="142">
        <v>4</v>
      </c>
      <c r="F23" s="98">
        <v>3</v>
      </c>
      <c r="G23" s="87"/>
      <c r="H23" s="91">
        <f>3.5</f>
        <v>3.5</v>
      </c>
      <c r="I23" s="98">
        <f>4.5+1</f>
        <v>5.5</v>
      </c>
      <c r="J23" s="89">
        <f t="shared" si="0"/>
        <v>9</v>
      </c>
    </row>
    <row r="24" spans="1:33" ht="18" x14ac:dyDescent="0.25">
      <c r="A24" s="54">
        <v>20</v>
      </c>
      <c r="B24" s="166" t="s">
        <v>26</v>
      </c>
      <c r="C24" s="173">
        <v>5</v>
      </c>
      <c r="D24" s="249"/>
      <c r="E24" s="250">
        <v>6</v>
      </c>
      <c r="F24" s="251">
        <v>6</v>
      </c>
      <c r="G24" s="249"/>
      <c r="H24" s="252">
        <f>6.5</f>
        <v>6.5</v>
      </c>
      <c r="I24" s="251">
        <f>2+0.5</f>
        <v>2.5</v>
      </c>
      <c r="J24" s="253">
        <f t="shared" si="0"/>
        <v>9</v>
      </c>
      <c r="AG24" t="s">
        <v>263</v>
      </c>
    </row>
    <row r="25" spans="1:33" ht="18" x14ac:dyDescent="0.25">
      <c r="A25" s="54">
        <v>21</v>
      </c>
      <c r="B25" s="168" t="s">
        <v>272</v>
      </c>
      <c r="C25" s="173" t="s">
        <v>5</v>
      </c>
      <c r="D25" s="87"/>
      <c r="E25" s="142">
        <v>7</v>
      </c>
      <c r="F25" s="98">
        <v>2</v>
      </c>
      <c r="G25" s="87"/>
      <c r="H25" s="91">
        <f>0.5</f>
        <v>0.5</v>
      </c>
      <c r="I25" s="98">
        <f>5.5+0.5</f>
        <v>6</v>
      </c>
      <c r="J25" s="89">
        <f t="shared" si="0"/>
        <v>6.5</v>
      </c>
    </row>
    <row r="26" spans="1:33" ht="18" x14ac:dyDescent="0.25">
      <c r="A26" s="54">
        <v>22</v>
      </c>
      <c r="B26" s="168" t="s">
        <v>51</v>
      </c>
      <c r="C26" s="215" t="s">
        <v>5</v>
      </c>
      <c r="D26" s="87"/>
      <c r="E26" s="138">
        <v>5</v>
      </c>
      <c r="F26" s="152">
        <v>5</v>
      </c>
      <c r="G26" s="87"/>
      <c r="H26" s="151">
        <f>2.5+0.5</f>
        <v>3</v>
      </c>
      <c r="I26" s="152">
        <f>2.5+0.5</f>
        <v>3</v>
      </c>
      <c r="J26" s="89">
        <f t="shared" si="0"/>
        <v>6</v>
      </c>
    </row>
    <row r="27" spans="1:33" ht="18" x14ac:dyDescent="0.25">
      <c r="A27" s="54">
        <v>23</v>
      </c>
      <c r="B27" s="220" t="s">
        <v>20</v>
      </c>
      <c r="C27" s="219" t="s">
        <v>5</v>
      </c>
      <c r="D27" s="150"/>
      <c r="E27" s="129">
        <v>8</v>
      </c>
      <c r="F27" s="137"/>
      <c r="G27" s="150"/>
      <c r="H27" s="140">
        <f>5.5</f>
        <v>5.5</v>
      </c>
      <c r="I27" s="137"/>
      <c r="J27" s="89">
        <f t="shared" si="0"/>
        <v>5.5</v>
      </c>
    </row>
    <row r="28" spans="1:33" ht="18" x14ac:dyDescent="0.25">
      <c r="A28" s="54">
        <v>24</v>
      </c>
      <c r="B28" s="122" t="s">
        <v>265</v>
      </c>
      <c r="C28" s="175">
        <v>5</v>
      </c>
      <c r="D28" s="248"/>
      <c r="E28" s="250">
        <v>6</v>
      </c>
      <c r="F28" s="251">
        <v>7</v>
      </c>
      <c r="G28" s="248"/>
      <c r="H28" s="252">
        <f>2</f>
        <v>2</v>
      </c>
      <c r="I28" s="251">
        <f>1.5</f>
        <v>1.5</v>
      </c>
      <c r="J28" s="253">
        <f t="shared" si="0"/>
        <v>3.5</v>
      </c>
    </row>
    <row r="29" spans="1:33" ht="18" x14ac:dyDescent="0.25">
      <c r="A29" s="54">
        <v>25</v>
      </c>
      <c r="B29" s="168" t="s">
        <v>266</v>
      </c>
      <c r="C29" s="215">
        <v>2.5</v>
      </c>
      <c r="D29" s="248"/>
      <c r="E29" s="250">
        <v>8</v>
      </c>
      <c r="F29" s="251">
        <v>8</v>
      </c>
      <c r="G29" s="248"/>
      <c r="H29" s="252">
        <v>1</v>
      </c>
      <c r="I29" s="251">
        <f>1</f>
        <v>1</v>
      </c>
      <c r="J29" s="253">
        <f t="shared" si="0"/>
        <v>2</v>
      </c>
    </row>
    <row r="30" spans="1:33" ht="20.25" customHeight="1" x14ac:dyDescent="0.25">
      <c r="A30" s="56">
        <v>26</v>
      </c>
      <c r="B30" s="168" t="s">
        <v>161</v>
      </c>
      <c r="C30" s="173" t="s">
        <v>5</v>
      </c>
      <c r="D30" s="87"/>
      <c r="E30" s="138"/>
      <c r="F30" s="152"/>
      <c r="G30" s="87"/>
      <c r="H30" s="151"/>
      <c r="I30" s="98"/>
      <c r="J30" s="89">
        <f t="shared" si="0"/>
        <v>0</v>
      </c>
    </row>
    <row r="31" spans="1:33" ht="15.75" customHeight="1" x14ac:dyDescent="0.25">
      <c r="A31" s="123">
        <v>27</v>
      </c>
      <c r="B31" s="220" t="s">
        <v>271</v>
      </c>
      <c r="C31" s="215"/>
      <c r="D31" s="248"/>
      <c r="E31" s="267"/>
      <c r="F31" s="269"/>
      <c r="G31" s="248"/>
      <c r="H31" s="271"/>
      <c r="I31" s="269"/>
      <c r="J31" s="253">
        <f t="shared" ref="J31:J32" si="1">SUM(G31:I31)</f>
        <v>0</v>
      </c>
    </row>
    <row r="32" spans="1:33" ht="18" x14ac:dyDescent="0.25">
      <c r="A32" s="54">
        <v>28</v>
      </c>
      <c r="B32" s="166"/>
      <c r="C32" s="173"/>
      <c r="D32" s="87"/>
      <c r="E32" s="143"/>
      <c r="F32" s="144"/>
      <c r="G32" s="87"/>
      <c r="H32" s="94"/>
      <c r="I32" s="144"/>
      <c r="J32" s="89">
        <f t="shared" si="1"/>
        <v>0</v>
      </c>
    </row>
  </sheetData>
  <sortState ref="B5:J30">
    <sortCondition descending="1" ref="J5:J30"/>
  </sortState>
  <mergeCells count="8">
    <mergeCell ref="A1:J2"/>
    <mergeCell ref="A3:A4"/>
    <mergeCell ref="B3:B4"/>
    <mergeCell ref="C3:C4"/>
    <mergeCell ref="D3:D4"/>
    <mergeCell ref="E3:F3"/>
    <mergeCell ref="G3:I3"/>
    <mergeCell ref="J3:J4"/>
  </mergeCells>
  <pageMargins left="0.70866141732283472" right="0.70866141732283472" top="0.74803149606299213" bottom="0.74803149606299213" header="0.31496062992125984" footer="0.31496062992125984"/>
  <pageSetup paperSize="9" scale="27" orientation="portrait" horizontalDpi="0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32"/>
  <sheetViews>
    <sheetView zoomScale="70" zoomScaleNormal="70" workbookViewId="0">
      <selection activeCell="B5" sqref="B5:J5"/>
    </sheetView>
  </sheetViews>
  <sheetFormatPr defaultRowHeight="15" x14ac:dyDescent="0.25"/>
  <cols>
    <col min="1" max="1" width="5.140625" customWidth="1"/>
    <col min="2" max="2" width="39.28515625" customWidth="1"/>
    <col min="3" max="3" width="7.7109375" customWidth="1"/>
    <col min="4" max="4" width="7.7109375" hidden="1" customWidth="1"/>
  </cols>
  <sheetData>
    <row r="1" spans="1:10" x14ac:dyDescent="0.25">
      <c r="A1" s="347" t="s">
        <v>273</v>
      </c>
      <c r="B1" s="348"/>
      <c r="C1" s="348"/>
      <c r="D1" s="348"/>
      <c r="E1" s="348"/>
      <c r="F1" s="348"/>
      <c r="G1" s="348"/>
      <c r="H1" s="348"/>
      <c r="I1" s="348"/>
      <c r="J1" s="349"/>
    </row>
    <row r="2" spans="1:10" ht="15.75" thickBot="1" x14ac:dyDescent="0.3">
      <c r="A2" s="350"/>
      <c r="B2" s="338"/>
      <c r="C2" s="338"/>
      <c r="D2" s="338"/>
      <c r="E2" s="338"/>
      <c r="F2" s="338"/>
      <c r="G2" s="338"/>
      <c r="H2" s="338"/>
      <c r="I2" s="338"/>
      <c r="J2" s="351"/>
    </row>
    <row r="3" spans="1:10" ht="16.5" thickBot="1" x14ac:dyDescent="0.3">
      <c r="A3" s="339"/>
      <c r="B3" s="341" t="s">
        <v>0</v>
      </c>
      <c r="C3" s="354" t="s">
        <v>4</v>
      </c>
      <c r="D3" s="354" t="s">
        <v>1</v>
      </c>
      <c r="E3" s="352" t="s">
        <v>63</v>
      </c>
      <c r="F3" s="353"/>
      <c r="G3" s="344" t="s">
        <v>2</v>
      </c>
      <c r="H3" s="344"/>
      <c r="I3" s="344"/>
      <c r="J3" s="345" t="s">
        <v>3</v>
      </c>
    </row>
    <row r="4" spans="1:10" ht="16.5" thickBot="1" x14ac:dyDescent="0.3">
      <c r="A4" s="340"/>
      <c r="B4" s="342"/>
      <c r="C4" s="355"/>
      <c r="D4" s="355"/>
      <c r="E4" s="3">
        <v>1</v>
      </c>
      <c r="F4" s="177">
        <v>2</v>
      </c>
      <c r="G4" s="5">
        <v>0</v>
      </c>
      <c r="H4" s="178">
        <v>1</v>
      </c>
      <c r="I4" s="130">
        <v>2</v>
      </c>
      <c r="J4" s="346"/>
    </row>
    <row r="5" spans="1:10" ht="18" x14ac:dyDescent="0.25">
      <c r="A5" s="131">
        <v>1</v>
      </c>
      <c r="B5" s="284" t="s">
        <v>274</v>
      </c>
      <c r="C5" s="282">
        <v>7.5</v>
      </c>
      <c r="D5" s="313"/>
      <c r="E5" s="314">
        <v>1</v>
      </c>
      <c r="F5" s="315">
        <v>1</v>
      </c>
      <c r="G5" s="313">
        <v>2.5</v>
      </c>
      <c r="H5" s="316">
        <f>15+6.7+2</f>
        <v>23.7</v>
      </c>
      <c r="I5" s="315">
        <f>15+6.7+2.5</f>
        <v>24.2</v>
      </c>
      <c r="J5" s="317">
        <f t="shared" ref="J5:J15" si="0">SUM(G5:I5)</f>
        <v>50.4</v>
      </c>
    </row>
    <row r="6" spans="1:10" ht="18.75" thickBot="1" x14ac:dyDescent="0.3">
      <c r="A6" s="54">
        <v>2</v>
      </c>
      <c r="B6" s="320" t="s">
        <v>25</v>
      </c>
      <c r="C6" s="321">
        <v>15</v>
      </c>
      <c r="D6" s="304"/>
      <c r="E6" s="323">
        <v>3</v>
      </c>
      <c r="F6" s="325">
        <v>6</v>
      </c>
      <c r="G6" s="304">
        <v>2</v>
      </c>
      <c r="H6" s="327">
        <f>13+4.6+2.5</f>
        <v>20.100000000000001</v>
      </c>
      <c r="I6" s="325">
        <f>10.5+5+2</f>
        <v>17.5</v>
      </c>
      <c r="J6" s="283">
        <f t="shared" si="0"/>
        <v>39.6</v>
      </c>
    </row>
    <row r="7" spans="1:10" ht="18" x14ac:dyDescent="0.25">
      <c r="A7" s="54">
        <v>3</v>
      </c>
      <c r="B7" s="264" t="s">
        <v>268</v>
      </c>
      <c r="C7" s="282" t="s">
        <v>5</v>
      </c>
      <c r="D7" s="313"/>
      <c r="E7" s="322">
        <v>2</v>
      </c>
      <c r="F7" s="324">
        <v>4</v>
      </c>
      <c r="G7" s="313">
        <v>1.5</v>
      </c>
      <c r="H7" s="326">
        <f>14+4.1+1.5</f>
        <v>19.600000000000001</v>
      </c>
      <c r="I7" s="324">
        <f>12+4+1.5</f>
        <v>17.5</v>
      </c>
      <c r="J7" s="317">
        <f t="shared" si="0"/>
        <v>38.6</v>
      </c>
    </row>
    <row r="8" spans="1:10" ht="18" x14ac:dyDescent="0.25">
      <c r="A8" s="54">
        <v>4</v>
      </c>
      <c r="B8" s="218" t="s">
        <v>20</v>
      </c>
      <c r="C8" s="215" t="s">
        <v>5</v>
      </c>
      <c r="D8" s="249"/>
      <c r="E8" s="250">
        <v>4</v>
      </c>
      <c r="F8" s="251">
        <v>2</v>
      </c>
      <c r="G8" s="249"/>
      <c r="H8" s="252">
        <f>12+0.6</f>
        <v>12.6</v>
      </c>
      <c r="I8" s="319">
        <f>14+1.1+1</f>
        <v>16.100000000000001</v>
      </c>
      <c r="J8" s="253">
        <f t="shared" si="0"/>
        <v>28.700000000000003</v>
      </c>
    </row>
    <row r="9" spans="1:10" ht="18" x14ac:dyDescent="0.25">
      <c r="A9" s="54">
        <v>5</v>
      </c>
      <c r="B9" s="216" t="s">
        <v>19</v>
      </c>
      <c r="C9" s="217"/>
      <c r="D9" s="265"/>
      <c r="E9" s="250">
        <v>5</v>
      </c>
      <c r="F9" s="251">
        <v>5</v>
      </c>
      <c r="G9" s="265"/>
      <c r="H9" s="252">
        <f>11+5.7+1</f>
        <v>17.7</v>
      </c>
      <c r="I9" s="251">
        <f>11+2.4-4+0.5</f>
        <v>9.9</v>
      </c>
      <c r="J9" s="253">
        <f t="shared" si="0"/>
        <v>27.6</v>
      </c>
    </row>
    <row r="10" spans="1:10" ht="18" x14ac:dyDescent="0.25">
      <c r="A10" s="54">
        <v>6</v>
      </c>
      <c r="B10" s="172" t="s">
        <v>170</v>
      </c>
      <c r="C10" s="217" t="s">
        <v>5</v>
      </c>
      <c r="D10" s="265"/>
      <c r="E10" s="267">
        <v>11</v>
      </c>
      <c r="F10" s="269">
        <v>3</v>
      </c>
      <c r="G10" s="265"/>
      <c r="H10" s="271">
        <f>8</f>
        <v>8</v>
      </c>
      <c r="I10" s="269">
        <f>13</f>
        <v>13</v>
      </c>
      <c r="J10" s="253">
        <f t="shared" si="0"/>
        <v>21</v>
      </c>
    </row>
    <row r="11" spans="1:10" ht="18" x14ac:dyDescent="0.25">
      <c r="A11" s="54">
        <v>7</v>
      </c>
      <c r="B11" s="170" t="s">
        <v>126</v>
      </c>
      <c r="C11" s="217">
        <v>10</v>
      </c>
      <c r="D11" s="318"/>
      <c r="E11" s="250">
        <v>6</v>
      </c>
      <c r="F11" s="251">
        <v>8</v>
      </c>
      <c r="G11" s="318"/>
      <c r="H11" s="252">
        <f>10.5</f>
        <v>10.5</v>
      </c>
      <c r="I11" s="251">
        <f>9.5</f>
        <v>9.5</v>
      </c>
      <c r="J11" s="253">
        <f t="shared" si="0"/>
        <v>20</v>
      </c>
    </row>
    <row r="12" spans="1:10" ht="18" x14ac:dyDescent="0.25">
      <c r="A12" s="54">
        <v>8</v>
      </c>
      <c r="B12" s="218" t="s">
        <v>11</v>
      </c>
      <c r="C12" s="219">
        <v>10</v>
      </c>
      <c r="D12" s="248"/>
      <c r="E12" s="250">
        <v>9</v>
      </c>
      <c r="F12" s="251">
        <v>7</v>
      </c>
      <c r="G12" s="248">
        <v>0.5</v>
      </c>
      <c r="H12" s="252">
        <f>9</f>
        <v>9</v>
      </c>
      <c r="I12" s="251">
        <f>10</f>
        <v>10</v>
      </c>
      <c r="J12" s="253">
        <f t="shared" si="0"/>
        <v>19.5</v>
      </c>
    </row>
    <row r="13" spans="1:10" ht="18" x14ac:dyDescent="0.25">
      <c r="A13" s="54">
        <v>9</v>
      </c>
      <c r="B13" s="168" t="s">
        <v>31</v>
      </c>
      <c r="C13" s="217">
        <v>7.5</v>
      </c>
      <c r="D13" s="248"/>
      <c r="E13" s="250">
        <v>7</v>
      </c>
      <c r="F13" s="251">
        <v>9</v>
      </c>
      <c r="G13" s="248"/>
      <c r="H13" s="252">
        <f>10</f>
        <v>10</v>
      </c>
      <c r="I13" s="251">
        <f>9</f>
        <v>9</v>
      </c>
      <c r="J13" s="253">
        <f t="shared" si="0"/>
        <v>19</v>
      </c>
    </row>
    <row r="14" spans="1:10" ht="18" x14ac:dyDescent="0.25">
      <c r="A14" s="54">
        <v>10</v>
      </c>
      <c r="B14" s="218" t="s">
        <v>275</v>
      </c>
      <c r="C14" s="215"/>
      <c r="D14" s="249"/>
      <c r="E14" s="250">
        <v>10</v>
      </c>
      <c r="F14" s="251">
        <v>11</v>
      </c>
      <c r="G14" s="249"/>
      <c r="H14" s="252">
        <f>8.5</f>
        <v>8.5</v>
      </c>
      <c r="I14" s="251">
        <v>8</v>
      </c>
      <c r="J14" s="253">
        <f t="shared" si="0"/>
        <v>16.5</v>
      </c>
    </row>
    <row r="15" spans="1:10" ht="18" x14ac:dyDescent="0.25">
      <c r="A15" s="54">
        <v>11</v>
      </c>
      <c r="B15" s="168" t="s">
        <v>29</v>
      </c>
      <c r="C15" s="219"/>
      <c r="D15" s="265"/>
      <c r="E15" s="267">
        <v>8</v>
      </c>
      <c r="F15" s="269">
        <v>10</v>
      </c>
      <c r="G15" s="265">
        <v>1</v>
      </c>
      <c r="H15" s="271">
        <f>9.5+0.5</f>
        <v>10</v>
      </c>
      <c r="I15" s="269">
        <f>8.5-4</f>
        <v>4.5</v>
      </c>
      <c r="J15" s="253">
        <f t="shared" si="0"/>
        <v>15.5</v>
      </c>
    </row>
    <row r="16" spans="1:10" ht="18" hidden="1" x14ac:dyDescent="0.25">
      <c r="A16" s="54">
        <v>12</v>
      </c>
      <c r="B16" s="168"/>
      <c r="C16" s="215"/>
      <c r="D16" s="249"/>
      <c r="E16" s="250"/>
      <c r="F16" s="251"/>
      <c r="G16" s="249"/>
      <c r="H16" s="252"/>
      <c r="I16" s="251"/>
      <c r="J16" s="253">
        <f t="shared" ref="J16:J30" si="1">SUM(G16:I16)</f>
        <v>0</v>
      </c>
    </row>
    <row r="17" spans="1:33" ht="18" hidden="1" x14ac:dyDescent="0.25">
      <c r="A17" s="54">
        <v>13</v>
      </c>
      <c r="B17" s="168"/>
      <c r="C17" s="215"/>
      <c r="D17" s="87"/>
      <c r="E17" s="143"/>
      <c r="F17" s="144"/>
      <c r="G17" s="87"/>
      <c r="H17" s="94"/>
      <c r="I17" s="144"/>
      <c r="J17" s="89">
        <f t="shared" si="1"/>
        <v>0</v>
      </c>
    </row>
    <row r="18" spans="1:33" ht="18" hidden="1" x14ac:dyDescent="0.25">
      <c r="A18" s="54">
        <v>14</v>
      </c>
      <c r="B18" s="122"/>
      <c r="C18" s="175"/>
      <c r="D18" s="87"/>
      <c r="E18" s="142"/>
      <c r="F18" s="98"/>
      <c r="G18" s="87"/>
      <c r="H18" s="91"/>
      <c r="I18" s="98"/>
      <c r="J18" s="89">
        <f t="shared" si="1"/>
        <v>0</v>
      </c>
      <c r="O18" t="s">
        <v>263</v>
      </c>
    </row>
    <row r="19" spans="1:33" ht="18" hidden="1" x14ac:dyDescent="0.25">
      <c r="A19" s="54">
        <v>15</v>
      </c>
      <c r="B19" s="166"/>
      <c r="C19" s="173"/>
      <c r="D19" s="265"/>
      <c r="E19" s="267"/>
      <c r="F19" s="269"/>
      <c r="G19" s="265"/>
      <c r="H19" s="271"/>
      <c r="I19" s="269"/>
      <c r="J19" s="253">
        <f t="shared" si="1"/>
        <v>0</v>
      </c>
    </row>
    <row r="20" spans="1:33" ht="18" hidden="1" x14ac:dyDescent="0.25">
      <c r="A20" s="54">
        <v>16</v>
      </c>
      <c r="B20" s="216"/>
      <c r="C20" s="217"/>
      <c r="D20" s="150"/>
      <c r="E20" s="142"/>
      <c r="F20" s="98"/>
      <c r="G20" s="150"/>
      <c r="H20" s="91"/>
      <c r="I20" s="98"/>
      <c r="J20" s="89">
        <f t="shared" si="1"/>
        <v>0</v>
      </c>
    </row>
    <row r="21" spans="1:33" ht="18" hidden="1" x14ac:dyDescent="0.25">
      <c r="A21" s="54">
        <v>17</v>
      </c>
      <c r="B21" s="166"/>
      <c r="C21" s="176"/>
      <c r="D21" s="125"/>
      <c r="E21" s="142"/>
      <c r="F21" s="98"/>
      <c r="G21" s="87"/>
      <c r="H21" s="91"/>
      <c r="I21" s="98"/>
      <c r="J21" s="89">
        <f t="shared" si="1"/>
        <v>0</v>
      </c>
    </row>
    <row r="22" spans="1:33" ht="18" hidden="1" x14ac:dyDescent="0.25">
      <c r="A22" s="54">
        <v>18</v>
      </c>
      <c r="B22" s="218"/>
      <c r="C22" s="215"/>
      <c r="D22" s="87"/>
      <c r="E22" s="142"/>
      <c r="F22" s="98"/>
      <c r="G22" s="87"/>
      <c r="H22" s="91"/>
      <c r="I22" s="98"/>
      <c r="J22" s="89">
        <f t="shared" si="1"/>
        <v>0</v>
      </c>
    </row>
    <row r="23" spans="1:33" ht="18" hidden="1" x14ac:dyDescent="0.25">
      <c r="A23" s="54">
        <v>19</v>
      </c>
      <c r="B23" s="168"/>
      <c r="C23" s="221"/>
      <c r="D23" s="87"/>
      <c r="E23" s="142"/>
      <c r="F23" s="98"/>
      <c r="G23" s="87"/>
      <c r="H23" s="91"/>
      <c r="I23" s="98"/>
      <c r="J23" s="89">
        <f t="shared" si="1"/>
        <v>0</v>
      </c>
    </row>
    <row r="24" spans="1:33" ht="18" hidden="1" x14ac:dyDescent="0.25">
      <c r="A24" s="54">
        <v>20</v>
      </c>
      <c r="B24" s="166"/>
      <c r="C24" s="173"/>
      <c r="D24" s="249"/>
      <c r="E24" s="250"/>
      <c r="F24" s="251"/>
      <c r="G24" s="249"/>
      <c r="H24" s="252"/>
      <c r="I24" s="251"/>
      <c r="J24" s="253">
        <f t="shared" si="1"/>
        <v>0</v>
      </c>
      <c r="AG24" t="s">
        <v>263</v>
      </c>
    </row>
    <row r="25" spans="1:33" ht="18" hidden="1" x14ac:dyDescent="0.25">
      <c r="A25" s="54">
        <v>21</v>
      </c>
      <c r="B25" s="168"/>
      <c r="C25" s="173"/>
      <c r="D25" s="87"/>
      <c r="E25" s="142"/>
      <c r="F25" s="98"/>
      <c r="G25" s="87"/>
      <c r="H25" s="91"/>
      <c r="I25" s="98"/>
      <c r="J25" s="89">
        <f t="shared" si="1"/>
        <v>0</v>
      </c>
    </row>
    <row r="26" spans="1:33" ht="18" hidden="1" x14ac:dyDescent="0.25">
      <c r="A26" s="54">
        <v>22</v>
      </c>
      <c r="B26" s="168"/>
      <c r="C26" s="215"/>
      <c r="D26" s="87"/>
      <c r="E26" s="138"/>
      <c r="F26" s="152"/>
      <c r="G26" s="87"/>
      <c r="H26" s="151"/>
      <c r="I26" s="152"/>
      <c r="J26" s="89">
        <f t="shared" si="1"/>
        <v>0</v>
      </c>
    </row>
    <row r="27" spans="1:33" ht="18" hidden="1" x14ac:dyDescent="0.25">
      <c r="A27" s="54">
        <v>23</v>
      </c>
      <c r="B27" s="220"/>
      <c r="C27" s="219"/>
      <c r="D27" s="150"/>
      <c r="E27" s="129"/>
      <c r="F27" s="137"/>
      <c r="G27" s="150"/>
      <c r="H27" s="140"/>
      <c r="I27" s="137"/>
      <c r="J27" s="89">
        <f t="shared" si="1"/>
        <v>0</v>
      </c>
    </row>
    <row r="28" spans="1:33" ht="18" hidden="1" x14ac:dyDescent="0.25">
      <c r="A28" s="54">
        <v>24</v>
      </c>
      <c r="B28" s="122"/>
      <c r="C28" s="175"/>
      <c r="D28" s="248"/>
      <c r="E28" s="250"/>
      <c r="F28" s="251"/>
      <c r="G28" s="248"/>
      <c r="H28" s="252"/>
      <c r="I28" s="251"/>
      <c r="J28" s="253">
        <f t="shared" si="1"/>
        <v>0</v>
      </c>
    </row>
    <row r="29" spans="1:33" ht="18" hidden="1" x14ac:dyDescent="0.25">
      <c r="A29" s="54">
        <v>25</v>
      </c>
      <c r="B29" s="168"/>
      <c r="C29" s="215"/>
      <c r="D29" s="248"/>
      <c r="E29" s="250"/>
      <c r="F29" s="251"/>
      <c r="G29" s="248"/>
      <c r="H29" s="252"/>
      <c r="I29" s="251"/>
      <c r="J29" s="253">
        <f t="shared" si="1"/>
        <v>0</v>
      </c>
    </row>
    <row r="30" spans="1:33" ht="20.25" hidden="1" customHeight="1" x14ac:dyDescent="0.25">
      <c r="A30" s="56">
        <v>26</v>
      </c>
      <c r="B30" s="168"/>
      <c r="C30" s="173"/>
      <c r="D30" s="87"/>
      <c r="E30" s="138"/>
      <c r="F30" s="152"/>
      <c r="G30" s="87"/>
      <c r="H30" s="151"/>
      <c r="I30" s="98"/>
      <c r="J30" s="89">
        <f t="shared" si="1"/>
        <v>0</v>
      </c>
    </row>
    <row r="31" spans="1:33" ht="15.75" hidden="1" customHeight="1" x14ac:dyDescent="0.25">
      <c r="A31" s="123">
        <v>27</v>
      </c>
      <c r="B31" s="220"/>
      <c r="C31" s="215"/>
      <c r="D31" s="248"/>
      <c r="E31" s="267"/>
      <c r="F31" s="269"/>
      <c r="G31" s="248"/>
      <c r="H31" s="271"/>
      <c r="I31" s="269"/>
      <c r="J31" s="253">
        <f t="shared" ref="J31:J32" si="2">SUM(G31:I31)</f>
        <v>0</v>
      </c>
    </row>
    <row r="32" spans="1:33" ht="18" hidden="1" x14ac:dyDescent="0.25">
      <c r="A32" s="54">
        <v>28</v>
      </c>
      <c r="B32" s="166"/>
      <c r="C32" s="173"/>
      <c r="D32" s="87"/>
      <c r="E32" s="143"/>
      <c r="F32" s="144"/>
      <c r="G32" s="87"/>
      <c r="H32" s="94"/>
      <c r="I32" s="144"/>
      <c r="J32" s="89">
        <f t="shared" si="2"/>
        <v>0</v>
      </c>
    </row>
  </sheetData>
  <sortState ref="B5:J15">
    <sortCondition descending="1" ref="J5:J15"/>
  </sortState>
  <mergeCells count="8">
    <mergeCell ref="A1:J2"/>
    <mergeCell ref="A3:A4"/>
    <mergeCell ref="B3:B4"/>
    <mergeCell ref="C3:C4"/>
    <mergeCell ref="D3:D4"/>
    <mergeCell ref="E3:F3"/>
    <mergeCell ref="G3:I3"/>
    <mergeCell ref="J3:J4"/>
  </mergeCells>
  <pageMargins left="0.70866141732283472" right="0.70866141732283472" top="0.74803149606299213" bottom="0.74803149606299213" header="0.31496062992125984" footer="0.31496062992125984"/>
  <pageSetup paperSize="9" scale="81" orientation="portrait" horizontalDpi="0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32"/>
  <sheetViews>
    <sheetView zoomScale="70" zoomScaleNormal="70" workbookViewId="0">
      <selection activeCell="C20" sqref="C20"/>
    </sheetView>
  </sheetViews>
  <sheetFormatPr defaultRowHeight="15" x14ac:dyDescent="0.25"/>
  <cols>
    <col min="1" max="1" width="5.140625" customWidth="1"/>
    <col min="2" max="2" width="39.28515625" customWidth="1"/>
    <col min="3" max="3" width="7.7109375" customWidth="1"/>
    <col min="4" max="4" width="7.7109375" hidden="1" customWidth="1"/>
  </cols>
  <sheetData>
    <row r="1" spans="1:10" x14ac:dyDescent="0.25">
      <c r="A1" s="347" t="s">
        <v>276</v>
      </c>
      <c r="B1" s="348"/>
      <c r="C1" s="348"/>
      <c r="D1" s="348"/>
      <c r="E1" s="348"/>
      <c r="F1" s="348"/>
      <c r="G1" s="348"/>
      <c r="H1" s="348"/>
      <c r="I1" s="348"/>
      <c r="J1" s="349"/>
    </row>
    <row r="2" spans="1:10" ht="15.75" thickBot="1" x14ac:dyDescent="0.3">
      <c r="A2" s="350"/>
      <c r="B2" s="338"/>
      <c r="C2" s="338"/>
      <c r="D2" s="338"/>
      <c r="E2" s="338"/>
      <c r="F2" s="338"/>
      <c r="G2" s="338"/>
      <c r="H2" s="338"/>
      <c r="I2" s="338"/>
      <c r="J2" s="351"/>
    </row>
    <row r="3" spans="1:10" ht="16.5" thickBot="1" x14ac:dyDescent="0.3">
      <c r="A3" s="339"/>
      <c r="B3" s="341" t="s">
        <v>0</v>
      </c>
      <c r="C3" s="354" t="s">
        <v>4</v>
      </c>
      <c r="D3" s="354" t="s">
        <v>1</v>
      </c>
      <c r="E3" s="352" t="s">
        <v>63</v>
      </c>
      <c r="F3" s="353"/>
      <c r="G3" s="344" t="s">
        <v>2</v>
      </c>
      <c r="H3" s="344"/>
      <c r="I3" s="344"/>
      <c r="J3" s="345" t="s">
        <v>3</v>
      </c>
    </row>
    <row r="4" spans="1:10" ht="16.5" thickBot="1" x14ac:dyDescent="0.3">
      <c r="A4" s="340"/>
      <c r="B4" s="342"/>
      <c r="C4" s="355"/>
      <c r="D4" s="355"/>
      <c r="E4" s="3">
        <v>1</v>
      </c>
      <c r="F4" s="177">
        <v>2</v>
      </c>
      <c r="G4" s="5">
        <v>0</v>
      </c>
      <c r="H4" s="178">
        <v>1</v>
      </c>
      <c r="I4" s="130">
        <v>2</v>
      </c>
      <c r="J4" s="346"/>
    </row>
    <row r="5" spans="1:10" ht="18" x14ac:dyDescent="0.25">
      <c r="A5" s="131">
        <v>1</v>
      </c>
      <c r="B5" s="329" t="s">
        <v>7</v>
      </c>
      <c r="C5" s="333" t="s">
        <v>5</v>
      </c>
      <c r="D5" s="334"/>
      <c r="E5" s="330">
        <v>5</v>
      </c>
      <c r="F5" s="331">
        <v>5</v>
      </c>
      <c r="G5" s="334">
        <v>2</v>
      </c>
      <c r="H5" s="332">
        <f>11+5.7+2</f>
        <v>18.7</v>
      </c>
      <c r="I5" s="331">
        <f>11+5.7+2.5</f>
        <v>19.2</v>
      </c>
      <c r="J5" s="317">
        <f t="shared" ref="J5:J25" si="0">SUM(G5:I5)</f>
        <v>39.9</v>
      </c>
    </row>
    <row r="6" spans="1:10" ht="18.75" thickBot="1" x14ac:dyDescent="0.3">
      <c r="A6" s="54">
        <v>2</v>
      </c>
      <c r="B6" s="285" t="s">
        <v>277</v>
      </c>
      <c r="C6" s="255">
        <v>17.5</v>
      </c>
      <c r="D6" s="335"/>
      <c r="E6" s="153">
        <v>1</v>
      </c>
      <c r="F6" s="101">
        <v>8</v>
      </c>
      <c r="G6" s="100">
        <v>1.5</v>
      </c>
      <c r="H6" s="115">
        <f>15+7.6+1.5</f>
        <v>24.1</v>
      </c>
      <c r="I6" s="101">
        <f>9.5+1.2</f>
        <v>10.7</v>
      </c>
      <c r="J6" s="186">
        <f t="shared" si="0"/>
        <v>36.299999999999997</v>
      </c>
    </row>
    <row r="7" spans="1:10" ht="18" x14ac:dyDescent="0.25">
      <c r="A7" s="54">
        <v>3</v>
      </c>
      <c r="B7" s="286" t="s">
        <v>31</v>
      </c>
      <c r="C7" s="288"/>
      <c r="D7" s="336"/>
      <c r="E7" s="330">
        <v>7</v>
      </c>
      <c r="F7" s="331">
        <v>10</v>
      </c>
      <c r="G7" s="336">
        <v>2.5</v>
      </c>
      <c r="H7" s="332">
        <f>10+4.9+2.5</f>
        <v>17.399999999999999</v>
      </c>
      <c r="I7" s="331">
        <f>8.5+1.3</f>
        <v>9.8000000000000007</v>
      </c>
      <c r="J7" s="317">
        <f t="shared" si="0"/>
        <v>29.7</v>
      </c>
    </row>
    <row r="8" spans="1:10" ht="18" x14ac:dyDescent="0.25">
      <c r="A8" s="54">
        <v>4</v>
      </c>
      <c r="B8" s="172" t="s">
        <v>179</v>
      </c>
      <c r="C8" s="217">
        <v>5</v>
      </c>
      <c r="D8" s="265"/>
      <c r="E8" s="250">
        <v>2</v>
      </c>
      <c r="F8" s="251">
        <v>7</v>
      </c>
      <c r="G8" s="265">
        <v>1</v>
      </c>
      <c r="H8" s="252">
        <f>14+5.7+1</f>
        <v>20.7</v>
      </c>
      <c r="I8" s="319">
        <f>10+1.2-4</f>
        <v>7.1999999999999993</v>
      </c>
      <c r="J8" s="253">
        <f t="shared" si="0"/>
        <v>28.9</v>
      </c>
    </row>
    <row r="9" spans="1:10" ht="18" x14ac:dyDescent="0.25">
      <c r="A9" s="54">
        <v>5</v>
      </c>
      <c r="B9" s="216" t="s">
        <v>59</v>
      </c>
      <c r="C9" s="217">
        <v>7.5</v>
      </c>
      <c r="D9" s="249"/>
      <c r="E9" s="250">
        <v>1</v>
      </c>
      <c r="F9" s="251">
        <v>2</v>
      </c>
      <c r="G9" s="249"/>
      <c r="H9" s="252">
        <f>9+4.2</f>
        <v>13.2</v>
      </c>
      <c r="I9" s="251">
        <f>14+3.5+1.5-4</f>
        <v>15</v>
      </c>
      <c r="J9" s="253">
        <f t="shared" si="0"/>
        <v>28.2</v>
      </c>
    </row>
    <row r="10" spans="1:10" ht="18" x14ac:dyDescent="0.25">
      <c r="A10" s="54">
        <v>6</v>
      </c>
      <c r="B10" s="168" t="s">
        <v>21</v>
      </c>
      <c r="C10" s="215" t="s">
        <v>5</v>
      </c>
      <c r="D10" s="265"/>
      <c r="E10" s="267">
        <v>8</v>
      </c>
      <c r="F10" s="269">
        <v>3</v>
      </c>
      <c r="G10" s="265">
        <v>0.5</v>
      </c>
      <c r="H10" s="271">
        <f>9.5+0.5</f>
        <v>10</v>
      </c>
      <c r="I10" s="269">
        <f>13+3.8+0.5</f>
        <v>17.3</v>
      </c>
      <c r="J10" s="253">
        <f t="shared" si="0"/>
        <v>27.8</v>
      </c>
    </row>
    <row r="11" spans="1:10" ht="18" x14ac:dyDescent="0.25">
      <c r="A11" s="54">
        <v>7</v>
      </c>
      <c r="B11" s="168" t="s">
        <v>278</v>
      </c>
      <c r="C11" s="219">
        <v>5</v>
      </c>
      <c r="D11" s="87"/>
      <c r="E11" s="142">
        <v>4</v>
      </c>
      <c r="F11" s="98">
        <v>1</v>
      </c>
      <c r="G11" s="87"/>
      <c r="H11" s="91">
        <f>12+0.9-4</f>
        <v>8.9</v>
      </c>
      <c r="I11" s="98">
        <f>15+2.2+2-4</f>
        <v>15.2</v>
      </c>
      <c r="J11" s="89">
        <f t="shared" si="0"/>
        <v>24.1</v>
      </c>
    </row>
    <row r="12" spans="1:10" ht="18" x14ac:dyDescent="0.25">
      <c r="A12" s="54">
        <v>8</v>
      </c>
      <c r="B12" s="166" t="s">
        <v>26</v>
      </c>
      <c r="C12" s="173">
        <v>2.5</v>
      </c>
      <c r="D12" s="249"/>
      <c r="E12" s="268">
        <v>3</v>
      </c>
      <c r="F12" s="270">
        <v>6</v>
      </c>
      <c r="G12" s="249"/>
      <c r="H12" s="272">
        <f>13</f>
        <v>13</v>
      </c>
      <c r="I12" s="270">
        <f>10.5</f>
        <v>10.5</v>
      </c>
      <c r="J12" s="253">
        <f t="shared" si="0"/>
        <v>23.5</v>
      </c>
    </row>
    <row r="13" spans="1:10" ht="18" x14ac:dyDescent="0.25">
      <c r="A13" s="54">
        <v>9</v>
      </c>
      <c r="B13" s="218" t="s">
        <v>170</v>
      </c>
      <c r="C13" s="215" t="s">
        <v>5</v>
      </c>
      <c r="D13" s="249"/>
      <c r="E13" s="250">
        <v>9</v>
      </c>
      <c r="F13" s="251">
        <v>1</v>
      </c>
      <c r="G13" s="249"/>
      <c r="H13" s="252">
        <f>9</f>
        <v>9</v>
      </c>
      <c r="I13" s="251">
        <f>9+5.6-4+1</f>
        <v>11.6</v>
      </c>
      <c r="J13" s="253">
        <f t="shared" si="0"/>
        <v>20.6</v>
      </c>
    </row>
    <row r="14" spans="1:10" ht="18" x14ac:dyDescent="0.25">
      <c r="A14" s="54">
        <v>10</v>
      </c>
      <c r="B14" s="168" t="s">
        <v>29</v>
      </c>
      <c r="C14" s="173"/>
      <c r="D14" s="87"/>
      <c r="E14" s="142">
        <v>3</v>
      </c>
      <c r="F14" s="98">
        <v>4</v>
      </c>
      <c r="G14" s="87"/>
      <c r="H14" s="91">
        <f>7+4.2</f>
        <v>11.2</v>
      </c>
      <c r="I14" s="98">
        <f>12-4</f>
        <v>8</v>
      </c>
      <c r="J14" s="89">
        <f t="shared" si="0"/>
        <v>19.2</v>
      </c>
    </row>
    <row r="15" spans="1:10" ht="18" x14ac:dyDescent="0.25">
      <c r="A15" s="54">
        <v>11</v>
      </c>
      <c r="B15" s="218" t="s">
        <v>62</v>
      </c>
      <c r="C15" s="219"/>
      <c r="D15" s="249"/>
      <c r="E15" s="250">
        <v>5</v>
      </c>
      <c r="F15" s="251">
        <v>3</v>
      </c>
      <c r="G15" s="249"/>
      <c r="H15" s="252">
        <f>5+3.5</f>
        <v>8.5</v>
      </c>
      <c r="I15" s="251">
        <f>7+3.5</f>
        <v>10.5</v>
      </c>
      <c r="J15" s="253">
        <f t="shared" si="0"/>
        <v>19</v>
      </c>
    </row>
    <row r="16" spans="1:10" ht="18" x14ac:dyDescent="0.25">
      <c r="A16" s="54">
        <v>12</v>
      </c>
      <c r="B16" s="218" t="s">
        <v>213</v>
      </c>
      <c r="C16" s="215">
        <v>7.5</v>
      </c>
      <c r="D16" s="265"/>
      <c r="E16" s="267">
        <v>11</v>
      </c>
      <c r="F16" s="269">
        <v>11</v>
      </c>
      <c r="G16" s="265"/>
      <c r="H16" s="271">
        <f>8</f>
        <v>8</v>
      </c>
      <c r="I16" s="269">
        <f>8</f>
        <v>8</v>
      </c>
      <c r="J16" s="253">
        <f t="shared" si="0"/>
        <v>16</v>
      </c>
    </row>
    <row r="17" spans="1:33" ht="18" x14ac:dyDescent="0.25">
      <c r="A17" s="54">
        <v>13</v>
      </c>
      <c r="B17" s="170" t="s">
        <v>134</v>
      </c>
      <c r="C17" s="217" t="s">
        <v>5</v>
      </c>
      <c r="D17" s="87"/>
      <c r="E17" s="143">
        <v>6</v>
      </c>
      <c r="F17" s="144">
        <v>9</v>
      </c>
      <c r="G17" s="87"/>
      <c r="H17" s="94">
        <f>10.5</f>
        <v>10.5</v>
      </c>
      <c r="I17" s="144">
        <f>9-4</f>
        <v>5</v>
      </c>
      <c r="J17" s="89">
        <f t="shared" si="0"/>
        <v>15.5</v>
      </c>
    </row>
    <row r="18" spans="1:33" ht="18" x14ac:dyDescent="0.25">
      <c r="A18" s="54">
        <v>14</v>
      </c>
      <c r="B18" s="122" t="s">
        <v>126</v>
      </c>
      <c r="C18" s="175">
        <v>10</v>
      </c>
      <c r="D18" s="150"/>
      <c r="E18" s="142">
        <v>2</v>
      </c>
      <c r="F18" s="98">
        <v>5</v>
      </c>
      <c r="G18" s="150"/>
      <c r="H18" s="91">
        <f>8+0.7</f>
        <v>8.6999999999999993</v>
      </c>
      <c r="I18" s="98">
        <f>5</f>
        <v>5</v>
      </c>
      <c r="J18" s="89">
        <f t="shared" si="0"/>
        <v>13.7</v>
      </c>
      <c r="O18" t="s">
        <v>263</v>
      </c>
    </row>
    <row r="19" spans="1:33" ht="18" x14ac:dyDescent="0.25">
      <c r="A19" s="54">
        <v>15</v>
      </c>
      <c r="B19" s="218" t="s">
        <v>281</v>
      </c>
      <c r="C19" s="215" t="s">
        <v>5</v>
      </c>
      <c r="D19" s="248"/>
      <c r="E19" s="250">
        <v>4</v>
      </c>
      <c r="F19" s="251">
        <v>7</v>
      </c>
      <c r="G19" s="248"/>
      <c r="H19" s="252">
        <f>6+1.4</f>
        <v>7.4</v>
      </c>
      <c r="I19" s="251">
        <f>4+2.1</f>
        <v>6.1</v>
      </c>
      <c r="J19" s="253">
        <f t="shared" si="0"/>
        <v>13.5</v>
      </c>
    </row>
    <row r="20" spans="1:33" ht="18" x14ac:dyDescent="0.25">
      <c r="A20" s="54">
        <v>16</v>
      </c>
      <c r="B20" s="168" t="s">
        <v>197</v>
      </c>
      <c r="C20" s="215">
        <v>20</v>
      </c>
      <c r="D20" s="265"/>
      <c r="E20" s="267">
        <v>10</v>
      </c>
      <c r="F20" s="269">
        <v>4</v>
      </c>
      <c r="G20" s="265"/>
      <c r="H20" s="271">
        <f>8.5</f>
        <v>8.5</v>
      </c>
      <c r="I20" s="269">
        <f>6+1.4-4</f>
        <v>3.4000000000000004</v>
      </c>
      <c r="J20" s="253">
        <f t="shared" si="0"/>
        <v>11.9</v>
      </c>
    </row>
    <row r="21" spans="1:33" ht="18" x14ac:dyDescent="0.25">
      <c r="A21" s="54">
        <v>17</v>
      </c>
      <c r="B21" s="218" t="s">
        <v>272</v>
      </c>
      <c r="C21" s="215" t="s">
        <v>5</v>
      </c>
      <c r="D21" s="87"/>
      <c r="E21" s="142">
        <v>10</v>
      </c>
      <c r="F21" s="98">
        <v>2</v>
      </c>
      <c r="G21" s="87"/>
      <c r="H21" s="91">
        <f>2.5</f>
        <v>2.5</v>
      </c>
      <c r="I21" s="98">
        <f>8+0.7</f>
        <v>8.6999999999999993</v>
      </c>
      <c r="J21" s="89">
        <f t="shared" si="0"/>
        <v>11.2</v>
      </c>
    </row>
    <row r="22" spans="1:33" ht="18" x14ac:dyDescent="0.25">
      <c r="A22" s="54">
        <v>18</v>
      </c>
      <c r="B22" s="168" t="s">
        <v>270</v>
      </c>
      <c r="C22" s="221"/>
      <c r="D22" s="249"/>
      <c r="E22" s="267">
        <v>6</v>
      </c>
      <c r="F22" s="269">
        <v>6</v>
      </c>
      <c r="G22" s="249"/>
      <c r="H22" s="271">
        <f>4.5+1.4</f>
        <v>5.9</v>
      </c>
      <c r="I22" s="269">
        <f>4.5</f>
        <v>4.5</v>
      </c>
      <c r="J22" s="253">
        <f t="shared" si="0"/>
        <v>10.4</v>
      </c>
    </row>
    <row r="23" spans="1:33" ht="18" x14ac:dyDescent="0.25">
      <c r="A23" s="54">
        <v>19</v>
      </c>
      <c r="B23" s="216" t="s">
        <v>161</v>
      </c>
      <c r="C23" s="217" t="s">
        <v>5</v>
      </c>
      <c r="D23" s="249"/>
      <c r="E23" s="250">
        <v>7</v>
      </c>
      <c r="F23" s="251">
        <v>8</v>
      </c>
      <c r="G23" s="249"/>
      <c r="H23" s="252">
        <f>4</f>
        <v>4</v>
      </c>
      <c r="I23" s="251">
        <f>3.5</f>
        <v>3.5</v>
      </c>
      <c r="J23" s="253">
        <f t="shared" si="0"/>
        <v>7.5</v>
      </c>
    </row>
    <row r="24" spans="1:33" ht="18" x14ac:dyDescent="0.25">
      <c r="A24" s="54">
        <v>20</v>
      </c>
      <c r="B24" s="168" t="s">
        <v>280</v>
      </c>
      <c r="C24" s="217">
        <v>17.5</v>
      </c>
      <c r="D24" s="87"/>
      <c r="E24" s="142">
        <v>9</v>
      </c>
      <c r="F24" s="98">
        <v>9</v>
      </c>
      <c r="G24" s="87"/>
      <c r="H24" s="91">
        <f>3</f>
        <v>3</v>
      </c>
      <c r="I24" s="98">
        <f>3</f>
        <v>3</v>
      </c>
      <c r="J24" s="89">
        <f t="shared" si="0"/>
        <v>6</v>
      </c>
      <c r="AG24" t="s">
        <v>263</v>
      </c>
    </row>
    <row r="25" spans="1:33" ht="18" x14ac:dyDescent="0.25">
      <c r="A25" s="54">
        <v>21</v>
      </c>
      <c r="B25" s="166" t="s">
        <v>279</v>
      </c>
      <c r="C25" s="176"/>
      <c r="D25" s="249"/>
      <c r="E25" s="268">
        <v>8</v>
      </c>
      <c r="F25" s="270">
        <v>10</v>
      </c>
      <c r="G25" s="249"/>
      <c r="H25" s="272">
        <f>3.5-4</f>
        <v>-0.5</v>
      </c>
      <c r="I25" s="270">
        <f>2.5</f>
        <v>2.5</v>
      </c>
      <c r="J25" s="253">
        <f t="shared" si="0"/>
        <v>2</v>
      </c>
    </row>
    <row r="26" spans="1:33" ht="18" x14ac:dyDescent="0.25">
      <c r="A26" s="54">
        <v>22</v>
      </c>
      <c r="B26" s="168"/>
      <c r="C26" s="215"/>
      <c r="D26" s="87"/>
      <c r="E26" s="138"/>
      <c r="F26" s="152"/>
      <c r="G26" s="87"/>
      <c r="H26" s="151"/>
      <c r="I26" s="152"/>
      <c r="J26" s="89">
        <f t="shared" ref="J26:J32" si="1">SUM(G26:I26)</f>
        <v>0</v>
      </c>
    </row>
    <row r="27" spans="1:33" ht="18" hidden="1" x14ac:dyDescent="0.25">
      <c r="A27" s="54" t="s">
        <v>263</v>
      </c>
      <c r="B27" s="220"/>
      <c r="C27" s="219"/>
      <c r="D27" s="150"/>
      <c r="E27" s="129"/>
      <c r="F27" s="137"/>
      <c r="G27" s="150"/>
      <c r="H27" s="140"/>
      <c r="I27" s="137"/>
      <c r="J27" s="89">
        <f t="shared" si="1"/>
        <v>0</v>
      </c>
    </row>
    <row r="28" spans="1:33" ht="18" hidden="1" x14ac:dyDescent="0.25">
      <c r="A28" s="54">
        <v>24</v>
      </c>
      <c r="B28" s="122"/>
      <c r="C28" s="175"/>
      <c r="D28" s="248"/>
      <c r="E28" s="250"/>
      <c r="F28" s="251"/>
      <c r="G28" s="248"/>
      <c r="H28" s="252"/>
      <c r="I28" s="251"/>
      <c r="J28" s="253">
        <f t="shared" si="1"/>
        <v>0</v>
      </c>
    </row>
    <row r="29" spans="1:33" ht="18" hidden="1" x14ac:dyDescent="0.25">
      <c r="A29" s="54">
        <v>25</v>
      </c>
      <c r="B29" s="168"/>
      <c r="C29" s="215"/>
      <c r="D29" s="248"/>
      <c r="E29" s="250"/>
      <c r="F29" s="251"/>
      <c r="G29" s="248"/>
      <c r="H29" s="252"/>
      <c r="I29" s="251"/>
      <c r="J29" s="253">
        <f t="shared" si="1"/>
        <v>0</v>
      </c>
    </row>
    <row r="30" spans="1:33" ht="20.25" hidden="1" customHeight="1" x14ac:dyDescent="0.25">
      <c r="A30" s="56">
        <v>26</v>
      </c>
      <c r="B30" s="168"/>
      <c r="C30" s="173"/>
      <c r="D30" s="87"/>
      <c r="E30" s="138"/>
      <c r="F30" s="152"/>
      <c r="G30" s="87"/>
      <c r="H30" s="151"/>
      <c r="I30" s="98"/>
      <c r="J30" s="89">
        <f t="shared" si="1"/>
        <v>0</v>
      </c>
    </row>
    <row r="31" spans="1:33" ht="15.75" hidden="1" customHeight="1" x14ac:dyDescent="0.25">
      <c r="A31" s="123">
        <v>27</v>
      </c>
      <c r="B31" s="220"/>
      <c r="C31" s="215"/>
      <c r="D31" s="248"/>
      <c r="E31" s="267"/>
      <c r="F31" s="269"/>
      <c r="G31" s="248"/>
      <c r="H31" s="271"/>
      <c r="I31" s="269"/>
      <c r="J31" s="253">
        <f t="shared" si="1"/>
        <v>0</v>
      </c>
    </row>
    <row r="32" spans="1:33" ht="18" hidden="1" x14ac:dyDescent="0.25">
      <c r="A32" s="54">
        <v>28</v>
      </c>
      <c r="B32" s="166"/>
      <c r="C32" s="173"/>
      <c r="D32" s="87"/>
      <c r="E32" s="143"/>
      <c r="F32" s="144"/>
      <c r="G32" s="87"/>
      <c r="H32" s="94"/>
      <c r="I32" s="144"/>
      <c r="J32" s="89">
        <f t="shared" si="1"/>
        <v>0</v>
      </c>
    </row>
  </sheetData>
  <sortState ref="B5:J25">
    <sortCondition descending="1" ref="J5:J18"/>
  </sortState>
  <mergeCells count="8">
    <mergeCell ref="A1:J2"/>
    <mergeCell ref="A3:A4"/>
    <mergeCell ref="B3:B4"/>
    <mergeCell ref="C3:C4"/>
    <mergeCell ref="D3:D4"/>
    <mergeCell ref="E3:F3"/>
    <mergeCell ref="G3:I3"/>
    <mergeCell ref="J3:J4"/>
  </mergeCells>
  <pageMargins left="0.70866141732283472" right="0.70866141732283472" top="0.74803149606299213" bottom="0.74803149606299213" header="0.31496062992125984" footer="0.31496062992125984"/>
  <pageSetup paperSize="9" scale="27" orientation="portrait" horizontalDpi="0" verticalDpi="0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32"/>
  <sheetViews>
    <sheetView tabSelected="1" zoomScale="70" zoomScaleNormal="70" workbookViewId="0">
      <selection activeCell="H16" sqref="H16"/>
    </sheetView>
  </sheetViews>
  <sheetFormatPr defaultRowHeight="15" x14ac:dyDescent="0.25"/>
  <cols>
    <col min="1" max="1" width="5.140625" customWidth="1"/>
    <col min="2" max="2" width="39.28515625" customWidth="1"/>
    <col min="3" max="3" width="7.7109375" customWidth="1"/>
    <col min="4" max="4" width="7.7109375" hidden="1" customWidth="1"/>
  </cols>
  <sheetData>
    <row r="1" spans="1:10" x14ac:dyDescent="0.25">
      <c r="A1" s="347" t="s">
        <v>282</v>
      </c>
      <c r="B1" s="348"/>
      <c r="C1" s="348"/>
      <c r="D1" s="348"/>
      <c r="E1" s="348"/>
      <c r="F1" s="348"/>
      <c r="G1" s="348"/>
      <c r="H1" s="348"/>
      <c r="I1" s="348"/>
      <c r="J1" s="349"/>
    </row>
    <row r="2" spans="1:10" ht="15.75" thickBot="1" x14ac:dyDescent="0.3">
      <c r="A2" s="350"/>
      <c r="B2" s="338"/>
      <c r="C2" s="338"/>
      <c r="D2" s="338"/>
      <c r="E2" s="338"/>
      <c r="F2" s="338"/>
      <c r="G2" s="338"/>
      <c r="H2" s="338"/>
      <c r="I2" s="338"/>
      <c r="J2" s="351"/>
    </row>
    <row r="3" spans="1:10" ht="16.5" thickBot="1" x14ac:dyDescent="0.3">
      <c r="A3" s="339"/>
      <c r="B3" s="341" t="s">
        <v>0</v>
      </c>
      <c r="C3" s="354" t="s">
        <v>4</v>
      </c>
      <c r="D3" s="354" t="s">
        <v>1</v>
      </c>
      <c r="E3" s="352" t="s">
        <v>63</v>
      </c>
      <c r="F3" s="353"/>
      <c r="G3" s="344" t="s">
        <v>2</v>
      </c>
      <c r="H3" s="344"/>
      <c r="I3" s="344"/>
      <c r="J3" s="345" t="s">
        <v>3</v>
      </c>
    </row>
    <row r="4" spans="1:10" ht="16.5" thickBot="1" x14ac:dyDescent="0.3">
      <c r="A4" s="340"/>
      <c r="B4" s="342"/>
      <c r="C4" s="355"/>
      <c r="D4" s="355"/>
      <c r="E4" s="3">
        <v>1</v>
      </c>
      <c r="F4" s="177">
        <v>2</v>
      </c>
      <c r="G4" s="5">
        <v>0</v>
      </c>
      <c r="H4" s="178">
        <v>1</v>
      </c>
      <c r="I4" s="130">
        <v>2</v>
      </c>
      <c r="J4" s="346"/>
    </row>
    <row r="5" spans="1:10" ht="18" x14ac:dyDescent="0.25">
      <c r="A5" s="131">
        <v>1</v>
      </c>
      <c r="B5" s="204" t="s">
        <v>6</v>
      </c>
      <c r="C5" s="208" t="s">
        <v>5</v>
      </c>
      <c r="D5" s="389"/>
      <c r="E5" s="213">
        <v>5</v>
      </c>
      <c r="F5" s="206">
        <v>6</v>
      </c>
      <c r="G5" s="389">
        <v>2</v>
      </c>
      <c r="H5" s="205">
        <f>12+5.7+2.5</f>
        <v>20.2</v>
      </c>
      <c r="I5" s="206">
        <f>11.5+6+2.5</f>
        <v>20</v>
      </c>
      <c r="J5" s="212">
        <f>SUM(G5:I5)</f>
        <v>42.2</v>
      </c>
    </row>
    <row r="6" spans="1:10" ht="18.75" thickBot="1" x14ac:dyDescent="0.3">
      <c r="A6" s="54">
        <v>2</v>
      </c>
      <c r="B6" s="390" t="s">
        <v>7</v>
      </c>
      <c r="C6" s="297" t="s">
        <v>5</v>
      </c>
      <c r="D6" s="391"/>
      <c r="E6" s="392">
        <v>6</v>
      </c>
      <c r="F6" s="393">
        <v>11</v>
      </c>
      <c r="G6" s="391">
        <v>2.5</v>
      </c>
      <c r="H6" s="394">
        <f>11.5+6+1.5</f>
        <v>19</v>
      </c>
      <c r="I6" s="393">
        <f>9+1.5</f>
        <v>10.5</v>
      </c>
      <c r="J6" s="281">
        <f>SUM(G6:I6)</f>
        <v>32</v>
      </c>
    </row>
    <row r="7" spans="1:10" ht="18" x14ac:dyDescent="0.25">
      <c r="A7" s="54">
        <v>3</v>
      </c>
      <c r="B7" s="264" t="s">
        <v>168</v>
      </c>
      <c r="C7" s="282">
        <v>22.5</v>
      </c>
      <c r="D7" s="313"/>
      <c r="E7" s="330">
        <v>1</v>
      </c>
      <c r="F7" s="331">
        <v>2</v>
      </c>
      <c r="G7" s="313"/>
      <c r="H7" s="332">
        <f>16+0.7</f>
        <v>16.7</v>
      </c>
      <c r="I7" s="331">
        <f>15</f>
        <v>15</v>
      </c>
      <c r="J7" s="317">
        <f>SUM(G7:I7)</f>
        <v>31.7</v>
      </c>
    </row>
    <row r="8" spans="1:10" ht="18" x14ac:dyDescent="0.25">
      <c r="A8" s="54">
        <v>4</v>
      </c>
      <c r="B8" s="395" t="s">
        <v>291</v>
      </c>
      <c r="C8" s="396" t="s">
        <v>5</v>
      </c>
      <c r="D8" s="309"/>
      <c r="E8" s="310">
        <v>2</v>
      </c>
      <c r="F8" s="197">
        <v>4</v>
      </c>
      <c r="G8" s="309">
        <v>0.5</v>
      </c>
      <c r="H8" s="311">
        <f>15+4.5-4+2</f>
        <v>17.5</v>
      </c>
      <c r="I8" s="397">
        <f>13+6.6-4-4+2</f>
        <v>13.600000000000001</v>
      </c>
      <c r="J8" s="312">
        <f>SUM(G8:I8)</f>
        <v>31.6</v>
      </c>
    </row>
    <row r="9" spans="1:10" ht="18" x14ac:dyDescent="0.25">
      <c r="A9" s="54">
        <v>5</v>
      </c>
      <c r="B9" s="218" t="s">
        <v>295</v>
      </c>
      <c r="C9" s="215" t="s">
        <v>5</v>
      </c>
      <c r="D9" s="249"/>
      <c r="E9" s="250">
        <v>2</v>
      </c>
      <c r="F9" s="251">
        <v>3</v>
      </c>
      <c r="G9" s="249"/>
      <c r="H9" s="252">
        <f>9+4.9</f>
        <v>13.9</v>
      </c>
      <c r="I9" s="251">
        <f>14+0.8</f>
        <v>14.8</v>
      </c>
      <c r="J9" s="253">
        <f>SUM(G9:I9)</f>
        <v>28.700000000000003</v>
      </c>
    </row>
    <row r="10" spans="1:10" ht="18" x14ac:dyDescent="0.25">
      <c r="A10" s="54">
        <v>6</v>
      </c>
      <c r="B10" s="168" t="s">
        <v>29</v>
      </c>
      <c r="C10" s="215">
        <v>2.5</v>
      </c>
      <c r="D10" s="249"/>
      <c r="E10" s="267">
        <v>3</v>
      </c>
      <c r="F10" s="269">
        <v>5</v>
      </c>
      <c r="G10" s="249"/>
      <c r="H10" s="271">
        <f>14+1.7</f>
        <v>15.7</v>
      </c>
      <c r="I10" s="269">
        <f>12</f>
        <v>12</v>
      </c>
      <c r="J10" s="253">
        <f>SUM(G10:I10)</f>
        <v>27.7</v>
      </c>
    </row>
    <row r="11" spans="1:10" ht="18" x14ac:dyDescent="0.25">
      <c r="A11" s="54">
        <v>7</v>
      </c>
      <c r="B11" s="168" t="s">
        <v>20</v>
      </c>
      <c r="C11" s="173" t="s">
        <v>5</v>
      </c>
      <c r="D11" s="248"/>
      <c r="E11" s="250">
        <v>8</v>
      </c>
      <c r="F11" s="251">
        <v>1</v>
      </c>
      <c r="G11" s="248"/>
      <c r="H11" s="252">
        <v>10.5</v>
      </c>
      <c r="I11" s="251">
        <f>16+3.1-4+0.5</f>
        <v>15.600000000000001</v>
      </c>
      <c r="J11" s="253">
        <f>SUM(G11:I11)</f>
        <v>26.1</v>
      </c>
    </row>
    <row r="12" spans="1:10" ht="18" x14ac:dyDescent="0.25">
      <c r="A12" s="54">
        <v>8</v>
      </c>
      <c r="B12" s="216" t="s">
        <v>59</v>
      </c>
      <c r="C12" s="217"/>
      <c r="D12" s="265"/>
      <c r="E12" s="267">
        <v>4</v>
      </c>
      <c r="F12" s="269">
        <v>1</v>
      </c>
      <c r="G12" s="265"/>
      <c r="H12" s="271">
        <v>13</v>
      </c>
      <c r="I12" s="269">
        <f>10+6.3-2-4</f>
        <v>10.3</v>
      </c>
      <c r="J12" s="253">
        <f>SUM(G12:I12)</f>
        <v>23.3</v>
      </c>
    </row>
    <row r="13" spans="1:10" ht="18" x14ac:dyDescent="0.25">
      <c r="A13" s="54">
        <v>9</v>
      </c>
      <c r="B13" s="218" t="s">
        <v>25</v>
      </c>
      <c r="C13" s="219">
        <v>15</v>
      </c>
      <c r="D13" s="125"/>
      <c r="E13" s="142">
        <v>10</v>
      </c>
      <c r="F13" s="98">
        <v>8</v>
      </c>
      <c r="G13" s="87">
        <v>1</v>
      </c>
      <c r="H13" s="91">
        <f>9.5+1</f>
        <v>10.5</v>
      </c>
      <c r="I13" s="98">
        <f>10.5</f>
        <v>10.5</v>
      </c>
      <c r="J13" s="89">
        <f>SUM(G13:I13)</f>
        <v>22</v>
      </c>
    </row>
    <row r="14" spans="1:10" ht="18" x14ac:dyDescent="0.25">
      <c r="A14" s="54">
        <v>10</v>
      </c>
      <c r="B14" s="218" t="s">
        <v>31</v>
      </c>
      <c r="C14" s="215">
        <v>7.5</v>
      </c>
      <c r="D14" s="249"/>
      <c r="E14" s="250">
        <v>11</v>
      </c>
      <c r="F14" s="251">
        <v>9</v>
      </c>
      <c r="G14" s="249">
        <v>1.5</v>
      </c>
      <c r="H14" s="252">
        <f>9+0.5</f>
        <v>9.5</v>
      </c>
      <c r="I14" s="251">
        <f>10+1</f>
        <v>11</v>
      </c>
      <c r="J14" s="253">
        <f>SUM(G14:I14)</f>
        <v>22</v>
      </c>
    </row>
    <row r="15" spans="1:10" ht="18" x14ac:dyDescent="0.25">
      <c r="A15" s="54">
        <v>11</v>
      </c>
      <c r="B15" s="168" t="s">
        <v>126</v>
      </c>
      <c r="C15" s="215">
        <v>10</v>
      </c>
      <c r="D15" s="265"/>
      <c r="E15" s="267">
        <v>1</v>
      </c>
      <c r="F15" s="269">
        <v>4</v>
      </c>
      <c r="G15" s="265"/>
      <c r="H15" s="271">
        <f>10+2.1</f>
        <v>12.1</v>
      </c>
      <c r="I15" s="269">
        <f>7+2.1</f>
        <v>9.1</v>
      </c>
      <c r="J15" s="253">
        <f>SUM(G15:I15)</f>
        <v>21.2</v>
      </c>
    </row>
    <row r="16" spans="1:10" ht="18" x14ac:dyDescent="0.25">
      <c r="A16" s="54">
        <v>12</v>
      </c>
      <c r="B16" s="168" t="s">
        <v>296</v>
      </c>
      <c r="C16" s="221" t="s">
        <v>5</v>
      </c>
      <c r="D16" s="87"/>
      <c r="E16" s="142">
        <v>9</v>
      </c>
      <c r="F16" s="98">
        <v>7</v>
      </c>
      <c r="G16" s="87"/>
      <c r="H16" s="91">
        <v>10</v>
      </c>
      <c r="I16" s="98">
        <f>11</f>
        <v>11</v>
      </c>
      <c r="J16" s="89">
        <f>SUM(G16:I16)</f>
        <v>21</v>
      </c>
    </row>
    <row r="17" spans="1:33" ht="18" x14ac:dyDescent="0.25">
      <c r="A17" s="54">
        <v>13</v>
      </c>
      <c r="B17" s="166" t="s">
        <v>268</v>
      </c>
      <c r="C17" s="176" t="s">
        <v>5</v>
      </c>
      <c r="D17" s="249"/>
      <c r="E17" s="268">
        <v>7</v>
      </c>
      <c r="F17" s="270">
        <v>10</v>
      </c>
      <c r="G17" s="249"/>
      <c r="H17" s="272">
        <v>11</v>
      </c>
      <c r="I17" s="270">
        <f>9.5</f>
        <v>9.5</v>
      </c>
      <c r="J17" s="253">
        <f>SUM(G17:I17)</f>
        <v>20.5</v>
      </c>
    </row>
    <row r="18" spans="1:33" ht="18" x14ac:dyDescent="0.25">
      <c r="A18" s="54">
        <v>14</v>
      </c>
      <c r="B18" s="216" t="s">
        <v>26</v>
      </c>
      <c r="C18" s="219" t="s">
        <v>5</v>
      </c>
      <c r="D18" s="318"/>
      <c r="E18" s="250">
        <v>4</v>
      </c>
      <c r="F18" s="251">
        <v>6</v>
      </c>
      <c r="G18" s="318"/>
      <c r="H18" s="252">
        <f>7+4.2</f>
        <v>11.2</v>
      </c>
      <c r="I18" s="251">
        <f>5.5+1.4</f>
        <v>6.9</v>
      </c>
      <c r="J18" s="253">
        <f>SUM(G18:I18)</f>
        <v>18.100000000000001</v>
      </c>
      <c r="O18" t="s">
        <v>263</v>
      </c>
    </row>
    <row r="19" spans="1:33" ht="18" x14ac:dyDescent="0.25">
      <c r="A19" s="54">
        <v>15</v>
      </c>
      <c r="B19" s="168" t="s">
        <v>272</v>
      </c>
      <c r="C19" s="217"/>
      <c r="D19" s="87"/>
      <c r="E19" s="142">
        <v>7</v>
      </c>
      <c r="F19" s="98">
        <v>5</v>
      </c>
      <c r="G19" s="87"/>
      <c r="H19" s="91">
        <f>5+0.7</f>
        <v>5.7</v>
      </c>
      <c r="I19" s="98">
        <f>6+2.8</f>
        <v>8.8000000000000007</v>
      </c>
      <c r="J19" s="89">
        <f>SUM(G19:I19)</f>
        <v>14.5</v>
      </c>
    </row>
    <row r="20" spans="1:33" ht="18" x14ac:dyDescent="0.25">
      <c r="A20" s="54">
        <v>16</v>
      </c>
      <c r="B20" s="172" t="s">
        <v>161</v>
      </c>
      <c r="C20" s="217" t="s">
        <v>5</v>
      </c>
      <c r="D20" s="87"/>
      <c r="E20" s="143">
        <v>9</v>
      </c>
      <c r="F20" s="144">
        <v>3</v>
      </c>
      <c r="G20" s="87"/>
      <c r="H20" s="94">
        <f>4</f>
        <v>4</v>
      </c>
      <c r="I20" s="144">
        <f>8+1.4</f>
        <v>9.4</v>
      </c>
      <c r="J20" s="89">
        <f>SUM(G20:I20)</f>
        <v>13.4</v>
      </c>
    </row>
    <row r="21" spans="1:33" ht="18" x14ac:dyDescent="0.25">
      <c r="A21" s="54">
        <v>17</v>
      </c>
      <c r="B21" s="218" t="s">
        <v>197</v>
      </c>
      <c r="C21" s="215">
        <v>20</v>
      </c>
      <c r="D21" s="150"/>
      <c r="E21" s="142">
        <v>8</v>
      </c>
      <c r="F21" s="98">
        <v>8</v>
      </c>
      <c r="G21" s="150"/>
      <c r="H21" s="91">
        <f>4.5</f>
        <v>4.5</v>
      </c>
      <c r="I21" s="98">
        <f>4.5</f>
        <v>4.5</v>
      </c>
      <c r="J21" s="89">
        <f>SUM(G21:I21)</f>
        <v>9</v>
      </c>
    </row>
    <row r="22" spans="1:33" ht="18" x14ac:dyDescent="0.25">
      <c r="A22" s="54">
        <v>18</v>
      </c>
      <c r="B22" s="218" t="s">
        <v>11</v>
      </c>
      <c r="C22" s="215">
        <v>12.5</v>
      </c>
      <c r="D22" s="87"/>
      <c r="E22" s="142">
        <v>3</v>
      </c>
      <c r="F22" s="98">
        <v>7</v>
      </c>
      <c r="G22" s="87"/>
      <c r="H22" s="91">
        <f>8+2.1</f>
        <v>10.1</v>
      </c>
      <c r="I22" s="98">
        <f>5-4-4</f>
        <v>-3</v>
      </c>
      <c r="J22" s="89">
        <f>SUM(G22:I22)</f>
        <v>7.1</v>
      </c>
    </row>
    <row r="23" spans="1:33" ht="18" x14ac:dyDescent="0.25">
      <c r="A23" s="54">
        <v>19</v>
      </c>
      <c r="B23" s="170" t="s">
        <v>293</v>
      </c>
      <c r="C23" s="217"/>
      <c r="D23" s="265"/>
      <c r="E23" s="250">
        <v>10</v>
      </c>
      <c r="F23" s="251">
        <v>10</v>
      </c>
      <c r="G23" s="265"/>
      <c r="H23" s="252">
        <f>3.5</f>
        <v>3.5</v>
      </c>
      <c r="I23" s="251">
        <f>3.5</f>
        <v>3.5</v>
      </c>
      <c r="J23" s="253">
        <f>SUM(G23:I23)</f>
        <v>7</v>
      </c>
    </row>
    <row r="24" spans="1:33" ht="18" x14ac:dyDescent="0.25">
      <c r="A24" s="54">
        <v>20</v>
      </c>
      <c r="B24" s="122" t="s">
        <v>294</v>
      </c>
      <c r="C24" s="175">
        <v>17.5</v>
      </c>
      <c r="D24" s="265"/>
      <c r="E24" s="267">
        <v>6</v>
      </c>
      <c r="F24" s="269">
        <v>9</v>
      </c>
      <c r="G24" s="265"/>
      <c r="H24" s="271">
        <f>5.5-4</f>
        <v>1.5</v>
      </c>
      <c r="I24" s="269">
        <f>4</f>
        <v>4</v>
      </c>
      <c r="J24" s="253">
        <f>SUM(G24:I24)</f>
        <v>5.5</v>
      </c>
      <c r="AG24" t="s">
        <v>263</v>
      </c>
    </row>
    <row r="25" spans="1:33" ht="18" x14ac:dyDescent="0.25">
      <c r="A25" s="54">
        <v>21</v>
      </c>
      <c r="B25" s="168" t="s">
        <v>292</v>
      </c>
      <c r="C25" s="219">
        <v>5</v>
      </c>
      <c r="D25" s="249"/>
      <c r="E25" s="250">
        <v>5</v>
      </c>
      <c r="F25" s="251">
        <v>2</v>
      </c>
      <c r="G25" s="249"/>
      <c r="H25" s="252">
        <f>6-4-4-4-3</f>
        <v>-9</v>
      </c>
      <c r="I25" s="251">
        <f>9</f>
        <v>9</v>
      </c>
      <c r="J25" s="253">
        <f>SUM(G25:I25)</f>
        <v>0</v>
      </c>
    </row>
    <row r="26" spans="1:33" ht="18" hidden="1" x14ac:dyDescent="0.25">
      <c r="A26" s="54">
        <v>22</v>
      </c>
      <c r="B26" s="168"/>
      <c r="C26" s="215"/>
      <c r="D26" s="87"/>
      <c r="E26" s="138"/>
      <c r="F26" s="152"/>
      <c r="G26" s="87"/>
      <c r="H26" s="151"/>
      <c r="I26" s="152"/>
      <c r="J26" s="89">
        <f t="shared" ref="J26:J32" si="0">SUM(G26:I26)</f>
        <v>0</v>
      </c>
    </row>
    <row r="27" spans="1:33" ht="18" hidden="1" x14ac:dyDescent="0.25">
      <c r="A27" s="54" t="s">
        <v>263</v>
      </c>
      <c r="B27" s="220"/>
      <c r="C27" s="219"/>
      <c r="D27" s="150"/>
      <c r="E27" s="129"/>
      <c r="F27" s="137"/>
      <c r="G27" s="150"/>
      <c r="H27" s="140"/>
      <c r="I27" s="137"/>
      <c r="J27" s="89">
        <f t="shared" si="0"/>
        <v>0</v>
      </c>
    </row>
    <row r="28" spans="1:33" ht="18" hidden="1" x14ac:dyDescent="0.25">
      <c r="A28" s="54">
        <v>24</v>
      </c>
      <c r="B28" s="122"/>
      <c r="C28" s="175"/>
      <c r="D28" s="248"/>
      <c r="E28" s="250"/>
      <c r="F28" s="251"/>
      <c r="G28" s="248"/>
      <c r="H28" s="252"/>
      <c r="I28" s="251"/>
      <c r="J28" s="253">
        <f t="shared" si="0"/>
        <v>0</v>
      </c>
    </row>
    <row r="29" spans="1:33" ht="18" hidden="1" x14ac:dyDescent="0.25">
      <c r="A29" s="54">
        <v>25</v>
      </c>
      <c r="B29" s="168"/>
      <c r="C29" s="215"/>
      <c r="D29" s="248"/>
      <c r="E29" s="250"/>
      <c r="F29" s="251"/>
      <c r="G29" s="248"/>
      <c r="H29" s="252"/>
      <c r="I29" s="251"/>
      <c r="J29" s="253">
        <f t="shared" si="0"/>
        <v>0</v>
      </c>
    </row>
    <row r="30" spans="1:33" ht="20.25" hidden="1" customHeight="1" x14ac:dyDescent="0.25">
      <c r="A30" s="56">
        <v>26</v>
      </c>
      <c r="B30" s="168"/>
      <c r="C30" s="173"/>
      <c r="D30" s="87"/>
      <c r="E30" s="138"/>
      <c r="F30" s="152"/>
      <c r="G30" s="87"/>
      <c r="H30" s="151"/>
      <c r="I30" s="98"/>
      <c r="J30" s="89">
        <f t="shared" si="0"/>
        <v>0</v>
      </c>
    </row>
    <row r="31" spans="1:33" ht="15.75" hidden="1" customHeight="1" x14ac:dyDescent="0.25">
      <c r="A31" s="123">
        <v>27</v>
      </c>
      <c r="B31" s="220"/>
      <c r="C31" s="215"/>
      <c r="D31" s="248"/>
      <c r="E31" s="267"/>
      <c r="F31" s="269"/>
      <c r="G31" s="248"/>
      <c r="H31" s="271"/>
      <c r="I31" s="269"/>
      <c r="J31" s="253">
        <f t="shared" si="0"/>
        <v>0</v>
      </c>
    </row>
    <row r="32" spans="1:33" ht="18" hidden="1" x14ac:dyDescent="0.25">
      <c r="A32" s="54">
        <v>28</v>
      </c>
      <c r="B32" s="166"/>
      <c r="C32" s="173"/>
      <c r="D32" s="87"/>
      <c r="E32" s="143"/>
      <c r="F32" s="144"/>
      <c r="G32" s="87"/>
      <c r="H32" s="94"/>
      <c r="I32" s="144"/>
      <c r="J32" s="89">
        <f t="shared" si="0"/>
        <v>0</v>
      </c>
    </row>
  </sheetData>
  <sortState ref="A13:J14">
    <sortCondition ref="A13:A14"/>
  </sortState>
  <mergeCells count="8">
    <mergeCell ref="A1:J2"/>
    <mergeCell ref="A3:A4"/>
    <mergeCell ref="B3:B4"/>
    <mergeCell ref="C3:C4"/>
    <mergeCell ref="D3:D4"/>
    <mergeCell ref="E3:F3"/>
    <mergeCell ref="G3:I3"/>
    <mergeCell ref="J3:J4"/>
  </mergeCells>
  <pageMargins left="0.70866141732283472" right="0.70866141732283472" top="0.74803149606299213" bottom="0.74803149606299213" header="0.31496062992125984" footer="0.31496062992125984"/>
  <pageSetup paperSize="9" scale="27" orientation="portrait" horizontalDpi="0" verticalDpi="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N28"/>
  <sheetViews>
    <sheetView topLeftCell="A3" workbookViewId="0">
      <selection activeCell="M27" sqref="M27:M28"/>
    </sheetView>
  </sheetViews>
  <sheetFormatPr defaultRowHeight="12.75" x14ac:dyDescent="0.2"/>
  <cols>
    <col min="1" max="4" width="4.7109375" style="238" customWidth="1"/>
    <col min="5" max="14" width="4.7109375" style="222" customWidth="1"/>
    <col min="15" max="15" width="2.7109375" style="222" customWidth="1"/>
    <col min="16" max="19" width="4.7109375" style="222" customWidth="1"/>
    <col min="20" max="20" width="2.42578125" style="222" customWidth="1"/>
    <col min="21" max="24" width="4.7109375" style="222" customWidth="1"/>
    <col min="25" max="25" width="2.42578125" style="222" customWidth="1"/>
    <col min="26" max="28" width="4.7109375" style="222" customWidth="1"/>
    <col min="29" max="29" width="2.42578125" style="222" customWidth="1"/>
    <col min="30" max="32" width="4.7109375" style="222" customWidth="1"/>
    <col min="33" max="33" width="2.140625" style="222" customWidth="1"/>
    <col min="34" max="36" width="4.7109375" style="222" customWidth="1"/>
    <col min="37" max="37" width="2.140625" style="222" customWidth="1"/>
    <col min="38" max="40" width="4.7109375" style="222" customWidth="1"/>
    <col min="41" max="255" width="9.140625" style="222"/>
    <col min="256" max="269" width="5.7109375" style="222" customWidth="1"/>
    <col min="270" max="511" width="9.140625" style="222"/>
    <col min="512" max="525" width="5.7109375" style="222" customWidth="1"/>
    <col min="526" max="767" width="9.140625" style="222"/>
    <col min="768" max="781" width="5.7109375" style="222" customWidth="1"/>
    <col min="782" max="1023" width="9.140625" style="222"/>
    <col min="1024" max="1037" width="5.7109375" style="222" customWidth="1"/>
    <col min="1038" max="1279" width="9.140625" style="222"/>
    <col min="1280" max="1293" width="5.7109375" style="222" customWidth="1"/>
    <col min="1294" max="1535" width="9.140625" style="222"/>
    <col min="1536" max="1549" width="5.7109375" style="222" customWidth="1"/>
    <col min="1550" max="1791" width="9.140625" style="222"/>
    <col min="1792" max="1805" width="5.7109375" style="222" customWidth="1"/>
    <col min="1806" max="2047" width="9.140625" style="222"/>
    <col min="2048" max="2061" width="5.7109375" style="222" customWidth="1"/>
    <col min="2062" max="2303" width="9.140625" style="222"/>
    <col min="2304" max="2317" width="5.7109375" style="222" customWidth="1"/>
    <col min="2318" max="2559" width="9.140625" style="222"/>
    <col min="2560" max="2573" width="5.7109375" style="222" customWidth="1"/>
    <col min="2574" max="2815" width="9.140625" style="222"/>
    <col min="2816" max="2829" width="5.7109375" style="222" customWidth="1"/>
    <col min="2830" max="3071" width="9.140625" style="222"/>
    <col min="3072" max="3085" width="5.7109375" style="222" customWidth="1"/>
    <col min="3086" max="3327" width="9.140625" style="222"/>
    <col min="3328" max="3341" width="5.7109375" style="222" customWidth="1"/>
    <col min="3342" max="3583" width="9.140625" style="222"/>
    <col min="3584" max="3597" width="5.7109375" style="222" customWidth="1"/>
    <col min="3598" max="3839" width="9.140625" style="222"/>
    <col min="3840" max="3853" width="5.7109375" style="222" customWidth="1"/>
    <col min="3854" max="4095" width="9.140625" style="222"/>
    <col min="4096" max="4109" width="5.7109375" style="222" customWidth="1"/>
    <col min="4110" max="4351" width="9.140625" style="222"/>
    <col min="4352" max="4365" width="5.7109375" style="222" customWidth="1"/>
    <col min="4366" max="4607" width="9.140625" style="222"/>
    <col min="4608" max="4621" width="5.7109375" style="222" customWidth="1"/>
    <col min="4622" max="4863" width="9.140625" style="222"/>
    <col min="4864" max="4877" width="5.7109375" style="222" customWidth="1"/>
    <col min="4878" max="5119" width="9.140625" style="222"/>
    <col min="5120" max="5133" width="5.7109375" style="222" customWidth="1"/>
    <col min="5134" max="5375" width="9.140625" style="222"/>
    <col min="5376" max="5389" width="5.7109375" style="222" customWidth="1"/>
    <col min="5390" max="5631" width="9.140625" style="222"/>
    <col min="5632" max="5645" width="5.7109375" style="222" customWidth="1"/>
    <col min="5646" max="5887" width="9.140625" style="222"/>
    <col min="5888" max="5901" width="5.7109375" style="222" customWidth="1"/>
    <col min="5902" max="6143" width="9.140625" style="222"/>
    <col min="6144" max="6157" width="5.7109375" style="222" customWidth="1"/>
    <col min="6158" max="6399" width="9.140625" style="222"/>
    <col min="6400" max="6413" width="5.7109375" style="222" customWidth="1"/>
    <col min="6414" max="6655" width="9.140625" style="222"/>
    <col min="6656" max="6669" width="5.7109375" style="222" customWidth="1"/>
    <col min="6670" max="6911" width="9.140625" style="222"/>
    <col min="6912" max="6925" width="5.7109375" style="222" customWidth="1"/>
    <col min="6926" max="7167" width="9.140625" style="222"/>
    <col min="7168" max="7181" width="5.7109375" style="222" customWidth="1"/>
    <col min="7182" max="7423" width="9.140625" style="222"/>
    <col min="7424" max="7437" width="5.7109375" style="222" customWidth="1"/>
    <col min="7438" max="7679" width="9.140625" style="222"/>
    <col min="7680" max="7693" width="5.7109375" style="222" customWidth="1"/>
    <col min="7694" max="7935" width="9.140625" style="222"/>
    <col min="7936" max="7949" width="5.7109375" style="222" customWidth="1"/>
    <col min="7950" max="8191" width="9.140625" style="222"/>
    <col min="8192" max="8205" width="5.7109375" style="222" customWidth="1"/>
    <col min="8206" max="8447" width="9.140625" style="222"/>
    <col min="8448" max="8461" width="5.7109375" style="222" customWidth="1"/>
    <col min="8462" max="8703" width="9.140625" style="222"/>
    <col min="8704" max="8717" width="5.7109375" style="222" customWidth="1"/>
    <col min="8718" max="8959" width="9.140625" style="222"/>
    <col min="8960" max="8973" width="5.7109375" style="222" customWidth="1"/>
    <col min="8974" max="9215" width="9.140625" style="222"/>
    <col min="9216" max="9229" width="5.7109375" style="222" customWidth="1"/>
    <col min="9230" max="9471" width="9.140625" style="222"/>
    <col min="9472" max="9485" width="5.7109375" style="222" customWidth="1"/>
    <col min="9486" max="9727" width="9.140625" style="222"/>
    <col min="9728" max="9741" width="5.7109375" style="222" customWidth="1"/>
    <col min="9742" max="9983" width="9.140625" style="222"/>
    <col min="9984" max="9997" width="5.7109375" style="222" customWidth="1"/>
    <col min="9998" max="10239" width="9.140625" style="222"/>
    <col min="10240" max="10253" width="5.7109375" style="222" customWidth="1"/>
    <col min="10254" max="10495" width="9.140625" style="222"/>
    <col min="10496" max="10509" width="5.7109375" style="222" customWidth="1"/>
    <col min="10510" max="10751" width="9.140625" style="222"/>
    <col min="10752" max="10765" width="5.7109375" style="222" customWidth="1"/>
    <col min="10766" max="11007" width="9.140625" style="222"/>
    <col min="11008" max="11021" width="5.7109375" style="222" customWidth="1"/>
    <col min="11022" max="11263" width="9.140625" style="222"/>
    <col min="11264" max="11277" width="5.7109375" style="222" customWidth="1"/>
    <col min="11278" max="11519" width="9.140625" style="222"/>
    <col min="11520" max="11533" width="5.7109375" style="222" customWidth="1"/>
    <col min="11534" max="11775" width="9.140625" style="222"/>
    <col min="11776" max="11789" width="5.7109375" style="222" customWidth="1"/>
    <col min="11790" max="12031" width="9.140625" style="222"/>
    <col min="12032" max="12045" width="5.7109375" style="222" customWidth="1"/>
    <col min="12046" max="12287" width="9.140625" style="222"/>
    <col min="12288" max="12301" width="5.7109375" style="222" customWidth="1"/>
    <col min="12302" max="12543" width="9.140625" style="222"/>
    <col min="12544" max="12557" width="5.7109375" style="222" customWidth="1"/>
    <col min="12558" max="12799" width="9.140625" style="222"/>
    <col min="12800" max="12813" width="5.7109375" style="222" customWidth="1"/>
    <col min="12814" max="13055" width="9.140625" style="222"/>
    <col min="13056" max="13069" width="5.7109375" style="222" customWidth="1"/>
    <col min="13070" max="13311" width="9.140625" style="222"/>
    <col min="13312" max="13325" width="5.7109375" style="222" customWidth="1"/>
    <col min="13326" max="13567" width="9.140625" style="222"/>
    <col min="13568" max="13581" width="5.7109375" style="222" customWidth="1"/>
    <col min="13582" max="13823" width="9.140625" style="222"/>
    <col min="13824" max="13837" width="5.7109375" style="222" customWidth="1"/>
    <col min="13838" max="14079" width="9.140625" style="222"/>
    <col min="14080" max="14093" width="5.7109375" style="222" customWidth="1"/>
    <col min="14094" max="14335" width="9.140625" style="222"/>
    <col min="14336" max="14349" width="5.7109375" style="222" customWidth="1"/>
    <col min="14350" max="14591" width="9.140625" style="222"/>
    <col min="14592" max="14605" width="5.7109375" style="222" customWidth="1"/>
    <col min="14606" max="14847" width="9.140625" style="222"/>
    <col min="14848" max="14861" width="5.7109375" style="222" customWidth="1"/>
    <col min="14862" max="15103" width="9.140625" style="222"/>
    <col min="15104" max="15117" width="5.7109375" style="222" customWidth="1"/>
    <col min="15118" max="15359" width="9.140625" style="222"/>
    <col min="15360" max="15373" width="5.7109375" style="222" customWidth="1"/>
    <col min="15374" max="15615" width="9.140625" style="222"/>
    <col min="15616" max="15629" width="5.7109375" style="222" customWidth="1"/>
    <col min="15630" max="15871" width="9.140625" style="222"/>
    <col min="15872" max="15885" width="5.7109375" style="222" customWidth="1"/>
    <col min="15886" max="16127" width="9.140625" style="222"/>
    <col min="16128" max="16141" width="5.7109375" style="222" customWidth="1"/>
    <col min="16142" max="16384" width="9.140625" style="222"/>
  </cols>
  <sheetData>
    <row r="1" spans="1:40" ht="15.75" customHeight="1" thickBot="1" x14ac:dyDescent="0.25">
      <c r="A1" s="356" t="s">
        <v>219</v>
      </c>
      <c r="B1" s="356"/>
      <c r="C1" s="356"/>
      <c r="D1" s="356"/>
      <c r="F1" s="356" t="s">
        <v>225</v>
      </c>
      <c r="G1" s="356"/>
      <c r="H1" s="356"/>
      <c r="I1" s="356"/>
      <c r="K1" s="356" t="s">
        <v>220</v>
      </c>
      <c r="L1" s="356"/>
      <c r="M1" s="356"/>
      <c r="N1" s="356"/>
      <c r="P1" s="356" t="s">
        <v>226</v>
      </c>
      <c r="Q1" s="356"/>
      <c r="R1" s="356"/>
      <c r="S1" s="356"/>
      <c r="U1" s="356" t="s">
        <v>221</v>
      </c>
      <c r="V1" s="356"/>
      <c r="W1" s="356"/>
      <c r="X1" s="356"/>
      <c r="Z1" s="356" t="s">
        <v>283</v>
      </c>
      <c r="AA1" s="356"/>
      <c r="AB1" s="356"/>
      <c r="AD1" s="356" t="s">
        <v>284</v>
      </c>
      <c r="AE1" s="356"/>
      <c r="AF1" s="356"/>
      <c r="AH1" s="356" t="s">
        <v>285</v>
      </c>
      <c r="AI1" s="356"/>
      <c r="AJ1" s="356"/>
      <c r="AL1" s="356" t="s">
        <v>286</v>
      </c>
      <c r="AM1" s="356"/>
      <c r="AN1" s="356"/>
    </row>
    <row r="2" spans="1:40" ht="13.5" thickBot="1" x14ac:dyDescent="0.25">
      <c r="A2" s="223"/>
      <c r="B2" s="224" t="s">
        <v>222</v>
      </c>
      <c r="C2" s="224" t="s">
        <v>223</v>
      </c>
      <c r="D2" s="225" t="s">
        <v>224</v>
      </c>
      <c r="F2" s="223"/>
      <c r="G2" s="224" t="s">
        <v>222</v>
      </c>
      <c r="H2" s="224" t="s">
        <v>223</v>
      </c>
      <c r="I2" s="225" t="s">
        <v>224</v>
      </c>
      <c r="K2" s="223"/>
      <c r="L2" s="224" t="s">
        <v>222</v>
      </c>
      <c r="M2" s="224" t="s">
        <v>223</v>
      </c>
      <c r="N2" s="225" t="s">
        <v>224</v>
      </c>
      <c r="P2" s="223"/>
      <c r="Q2" s="224" t="s">
        <v>222</v>
      </c>
      <c r="R2" s="224" t="s">
        <v>223</v>
      </c>
      <c r="S2" s="225" t="s">
        <v>224</v>
      </c>
      <c r="U2" s="223"/>
      <c r="V2" s="224" t="s">
        <v>222</v>
      </c>
      <c r="W2" s="224" t="s">
        <v>223</v>
      </c>
      <c r="X2" s="225" t="s">
        <v>224</v>
      </c>
      <c r="Z2" s="363"/>
      <c r="AA2" s="364" t="s">
        <v>222</v>
      </c>
      <c r="AB2" s="364" t="s">
        <v>223</v>
      </c>
      <c r="AD2" s="363"/>
      <c r="AE2" s="364" t="s">
        <v>222</v>
      </c>
      <c r="AF2" s="364" t="s">
        <v>223</v>
      </c>
      <c r="AH2" s="363"/>
      <c r="AI2" s="364" t="s">
        <v>222</v>
      </c>
      <c r="AJ2" s="364" t="s">
        <v>223</v>
      </c>
      <c r="AL2" s="363"/>
      <c r="AM2" s="364" t="s">
        <v>222</v>
      </c>
      <c r="AN2" s="364" t="s">
        <v>223</v>
      </c>
    </row>
    <row r="3" spans="1:40" x14ac:dyDescent="0.2">
      <c r="A3" s="226">
        <v>1</v>
      </c>
      <c r="B3" s="227">
        <v>17</v>
      </c>
      <c r="C3" s="228">
        <v>11.5</v>
      </c>
      <c r="D3" s="229">
        <v>6</v>
      </c>
      <c r="F3" s="226">
        <v>1</v>
      </c>
      <c r="G3" s="227">
        <v>17</v>
      </c>
      <c r="H3" s="228">
        <v>11.5</v>
      </c>
      <c r="I3" s="229">
        <v>6.5</v>
      </c>
      <c r="K3" s="226">
        <v>1</v>
      </c>
      <c r="L3" s="227">
        <v>17</v>
      </c>
      <c r="M3" s="228">
        <v>12</v>
      </c>
      <c r="N3" s="229">
        <v>7</v>
      </c>
      <c r="P3" s="226">
        <v>1</v>
      </c>
      <c r="Q3" s="227">
        <v>16</v>
      </c>
      <c r="R3" s="228">
        <v>11</v>
      </c>
      <c r="S3" s="229">
        <v>6.5</v>
      </c>
      <c r="U3" s="226">
        <v>1</v>
      </c>
      <c r="V3" s="227">
        <v>16</v>
      </c>
      <c r="W3" s="228">
        <v>11.5</v>
      </c>
      <c r="X3" s="229">
        <v>7</v>
      </c>
      <c r="Z3" s="369">
        <v>1</v>
      </c>
      <c r="AA3" s="366">
        <v>16</v>
      </c>
      <c r="AB3" s="229">
        <v>10</v>
      </c>
      <c r="AD3" s="369">
        <v>1</v>
      </c>
      <c r="AE3" s="366">
        <v>15</v>
      </c>
      <c r="AF3" s="229">
        <v>9.5</v>
      </c>
      <c r="AH3" s="369">
        <v>1</v>
      </c>
      <c r="AI3" s="366">
        <v>15</v>
      </c>
      <c r="AJ3" s="229">
        <v>10</v>
      </c>
      <c r="AL3" s="369">
        <v>1</v>
      </c>
      <c r="AM3" s="366">
        <v>15</v>
      </c>
      <c r="AN3" s="229">
        <v>10.5</v>
      </c>
    </row>
    <row r="4" spans="1:40" x14ac:dyDescent="0.2">
      <c r="A4" s="230">
        <v>2</v>
      </c>
      <c r="B4" s="231">
        <v>16</v>
      </c>
      <c r="C4" s="232">
        <v>10.5</v>
      </c>
      <c r="D4" s="233">
        <v>5</v>
      </c>
      <c r="F4" s="230">
        <v>2</v>
      </c>
      <c r="G4" s="231">
        <v>16</v>
      </c>
      <c r="H4" s="232">
        <v>10.5</v>
      </c>
      <c r="I4" s="233">
        <v>5.5</v>
      </c>
      <c r="K4" s="230">
        <v>2</v>
      </c>
      <c r="L4" s="231">
        <v>16</v>
      </c>
      <c r="M4" s="232">
        <v>11</v>
      </c>
      <c r="N4" s="233">
        <v>6</v>
      </c>
      <c r="P4" s="230">
        <v>2</v>
      </c>
      <c r="Q4" s="231">
        <v>15</v>
      </c>
      <c r="R4" s="232">
        <v>10</v>
      </c>
      <c r="S4" s="233">
        <v>5.5</v>
      </c>
      <c r="U4" s="230">
        <v>2</v>
      </c>
      <c r="V4" s="231">
        <v>15</v>
      </c>
      <c r="W4" s="232">
        <v>10.5</v>
      </c>
      <c r="X4" s="233">
        <v>6</v>
      </c>
      <c r="Z4" s="370">
        <v>2</v>
      </c>
      <c r="AA4" s="367">
        <v>15</v>
      </c>
      <c r="AB4" s="233">
        <v>9</v>
      </c>
      <c r="AD4" s="370">
        <v>2</v>
      </c>
      <c r="AE4" s="367">
        <v>14</v>
      </c>
      <c r="AF4" s="233">
        <v>8.5</v>
      </c>
      <c r="AH4" s="370">
        <v>2</v>
      </c>
      <c r="AI4" s="367">
        <v>14</v>
      </c>
      <c r="AJ4" s="233">
        <v>9</v>
      </c>
      <c r="AL4" s="370">
        <v>2</v>
      </c>
      <c r="AM4" s="367">
        <v>14</v>
      </c>
      <c r="AN4" s="233">
        <v>9.5</v>
      </c>
    </row>
    <row r="5" spans="1:40" x14ac:dyDescent="0.2">
      <c r="A5" s="230">
        <v>3</v>
      </c>
      <c r="B5" s="231">
        <v>15</v>
      </c>
      <c r="C5" s="232">
        <v>9.5</v>
      </c>
      <c r="D5" s="233">
        <v>4</v>
      </c>
      <c r="F5" s="230">
        <v>3</v>
      </c>
      <c r="G5" s="231">
        <v>15</v>
      </c>
      <c r="H5" s="232">
        <v>9.5</v>
      </c>
      <c r="I5" s="233">
        <v>4.5</v>
      </c>
      <c r="K5" s="230">
        <v>3</v>
      </c>
      <c r="L5" s="231">
        <v>15</v>
      </c>
      <c r="M5" s="232">
        <v>10</v>
      </c>
      <c r="N5" s="233">
        <v>5</v>
      </c>
      <c r="P5" s="230">
        <v>3</v>
      </c>
      <c r="Q5" s="231">
        <v>14</v>
      </c>
      <c r="R5" s="232">
        <v>9</v>
      </c>
      <c r="S5" s="233">
        <v>4.5</v>
      </c>
      <c r="U5" s="230">
        <v>3</v>
      </c>
      <c r="V5" s="231">
        <v>14</v>
      </c>
      <c r="W5" s="232">
        <v>9.5</v>
      </c>
      <c r="X5" s="233">
        <v>5</v>
      </c>
      <c r="Z5" s="370">
        <v>3</v>
      </c>
      <c r="AA5" s="367">
        <v>14</v>
      </c>
      <c r="AB5" s="233">
        <v>8</v>
      </c>
      <c r="AD5" s="370">
        <v>3</v>
      </c>
      <c r="AE5" s="367">
        <v>13</v>
      </c>
      <c r="AF5" s="233">
        <v>7.5</v>
      </c>
      <c r="AH5" s="370">
        <v>3</v>
      </c>
      <c r="AI5" s="367">
        <v>13</v>
      </c>
      <c r="AJ5" s="233">
        <v>8</v>
      </c>
      <c r="AL5" s="370">
        <v>3</v>
      </c>
      <c r="AM5" s="367">
        <v>13</v>
      </c>
      <c r="AN5" s="233">
        <v>8.5</v>
      </c>
    </row>
    <row r="6" spans="1:40" x14ac:dyDescent="0.2">
      <c r="A6" s="230">
        <v>4</v>
      </c>
      <c r="B6" s="231">
        <v>14</v>
      </c>
      <c r="C6" s="232">
        <v>8.5</v>
      </c>
      <c r="D6" s="233">
        <v>3</v>
      </c>
      <c r="F6" s="230">
        <v>4</v>
      </c>
      <c r="G6" s="231">
        <v>14</v>
      </c>
      <c r="H6" s="232">
        <v>8.5</v>
      </c>
      <c r="I6" s="233">
        <v>3.5</v>
      </c>
      <c r="K6" s="230">
        <v>4</v>
      </c>
      <c r="L6" s="231">
        <v>14</v>
      </c>
      <c r="M6" s="232">
        <v>9</v>
      </c>
      <c r="N6" s="233">
        <v>4</v>
      </c>
      <c r="P6" s="230">
        <v>4</v>
      </c>
      <c r="Q6" s="231">
        <v>13</v>
      </c>
      <c r="R6" s="232">
        <v>8</v>
      </c>
      <c r="S6" s="233">
        <v>3.5</v>
      </c>
      <c r="U6" s="230">
        <v>4</v>
      </c>
      <c r="V6" s="231">
        <v>13</v>
      </c>
      <c r="W6" s="232">
        <v>8.5</v>
      </c>
      <c r="X6" s="233">
        <v>4</v>
      </c>
      <c r="Z6" s="370">
        <v>4</v>
      </c>
      <c r="AA6" s="367">
        <v>13</v>
      </c>
      <c r="AB6" s="233">
        <v>7</v>
      </c>
      <c r="AD6" s="370">
        <v>4</v>
      </c>
      <c r="AE6" s="367">
        <v>12</v>
      </c>
      <c r="AF6" s="233">
        <v>6.5</v>
      </c>
      <c r="AH6" s="370">
        <v>4</v>
      </c>
      <c r="AI6" s="367">
        <v>12</v>
      </c>
      <c r="AJ6" s="233">
        <v>7</v>
      </c>
      <c r="AL6" s="370">
        <v>4</v>
      </c>
      <c r="AM6" s="367">
        <v>12</v>
      </c>
      <c r="AN6" s="233">
        <v>7.5</v>
      </c>
    </row>
    <row r="7" spans="1:40" x14ac:dyDescent="0.2">
      <c r="A7" s="230">
        <v>5</v>
      </c>
      <c r="B7" s="231">
        <v>13</v>
      </c>
      <c r="C7" s="232">
        <v>7.5</v>
      </c>
      <c r="D7" s="233">
        <v>2</v>
      </c>
      <c r="F7" s="230">
        <v>5</v>
      </c>
      <c r="G7" s="231">
        <v>13</v>
      </c>
      <c r="H7" s="232">
        <v>7.5</v>
      </c>
      <c r="I7" s="233">
        <v>2.5</v>
      </c>
      <c r="K7" s="230">
        <v>5</v>
      </c>
      <c r="L7" s="231">
        <v>13</v>
      </c>
      <c r="M7" s="232">
        <v>8</v>
      </c>
      <c r="N7" s="233">
        <v>3</v>
      </c>
      <c r="P7" s="230">
        <v>5</v>
      </c>
      <c r="Q7" s="231">
        <v>12</v>
      </c>
      <c r="R7" s="232">
        <v>7</v>
      </c>
      <c r="S7" s="233">
        <v>2.5</v>
      </c>
      <c r="U7" s="230">
        <v>5</v>
      </c>
      <c r="V7" s="231">
        <v>12</v>
      </c>
      <c r="W7" s="232">
        <v>7.5</v>
      </c>
      <c r="X7" s="233">
        <v>3</v>
      </c>
      <c r="Z7" s="370">
        <v>5</v>
      </c>
      <c r="AA7" s="367">
        <v>12</v>
      </c>
      <c r="AB7" s="233">
        <v>6</v>
      </c>
      <c r="AD7" s="370">
        <v>5</v>
      </c>
      <c r="AE7" s="367">
        <v>11</v>
      </c>
      <c r="AF7" s="233">
        <v>5.5</v>
      </c>
      <c r="AH7" s="370">
        <v>5</v>
      </c>
      <c r="AI7" s="367">
        <v>11</v>
      </c>
      <c r="AJ7" s="233">
        <v>6</v>
      </c>
      <c r="AL7" s="370">
        <v>5</v>
      </c>
      <c r="AM7" s="367">
        <v>11</v>
      </c>
      <c r="AN7" s="233">
        <v>6.5</v>
      </c>
    </row>
    <row r="8" spans="1:40" x14ac:dyDescent="0.2">
      <c r="A8" s="230">
        <v>6</v>
      </c>
      <c r="B8" s="231">
        <v>12.5</v>
      </c>
      <c r="C8" s="232">
        <v>7</v>
      </c>
      <c r="D8" s="233">
        <v>1.5</v>
      </c>
      <c r="F8" s="230">
        <v>6</v>
      </c>
      <c r="G8" s="231">
        <v>12.5</v>
      </c>
      <c r="H8" s="232">
        <v>7</v>
      </c>
      <c r="I8" s="233">
        <v>2</v>
      </c>
      <c r="K8" s="230">
        <v>6</v>
      </c>
      <c r="L8" s="231">
        <v>12.5</v>
      </c>
      <c r="M8" s="232">
        <v>7.5</v>
      </c>
      <c r="N8" s="233">
        <v>2.5</v>
      </c>
      <c r="P8" s="230">
        <v>6</v>
      </c>
      <c r="Q8" s="231">
        <v>11.5</v>
      </c>
      <c r="R8" s="232">
        <v>6.5</v>
      </c>
      <c r="S8" s="233">
        <v>2</v>
      </c>
      <c r="U8" s="230">
        <v>6</v>
      </c>
      <c r="V8" s="231">
        <v>11.5</v>
      </c>
      <c r="W8" s="232">
        <v>7</v>
      </c>
      <c r="X8" s="233">
        <v>2.5</v>
      </c>
      <c r="Z8" s="370">
        <v>6</v>
      </c>
      <c r="AA8" s="367">
        <v>11.5</v>
      </c>
      <c r="AB8" s="233">
        <v>5.5</v>
      </c>
      <c r="AD8" s="370">
        <v>6</v>
      </c>
      <c r="AE8" s="367">
        <v>10.5</v>
      </c>
      <c r="AF8" s="233">
        <v>5</v>
      </c>
      <c r="AH8" s="370">
        <v>6</v>
      </c>
      <c r="AI8" s="367">
        <v>10.5</v>
      </c>
      <c r="AJ8" s="233">
        <v>5.5</v>
      </c>
      <c r="AL8" s="370">
        <v>6</v>
      </c>
      <c r="AM8" s="367">
        <v>10.5</v>
      </c>
      <c r="AN8" s="233">
        <v>6</v>
      </c>
    </row>
    <row r="9" spans="1:40" x14ac:dyDescent="0.2">
      <c r="A9" s="230">
        <v>7</v>
      </c>
      <c r="B9" s="231">
        <v>12</v>
      </c>
      <c r="C9" s="232">
        <v>6.5</v>
      </c>
      <c r="D9" s="233">
        <v>1</v>
      </c>
      <c r="F9" s="230">
        <v>7</v>
      </c>
      <c r="G9" s="231">
        <v>12</v>
      </c>
      <c r="H9" s="232">
        <v>6.5</v>
      </c>
      <c r="I9" s="233">
        <v>1.5</v>
      </c>
      <c r="K9" s="230">
        <v>7</v>
      </c>
      <c r="L9" s="231">
        <v>12</v>
      </c>
      <c r="M9" s="232">
        <v>7</v>
      </c>
      <c r="N9" s="233">
        <v>2</v>
      </c>
      <c r="P9" s="230">
        <v>7</v>
      </c>
      <c r="Q9" s="231">
        <v>11</v>
      </c>
      <c r="R9" s="232">
        <v>6</v>
      </c>
      <c r="S9" s="233">
        <v>1.5</v>
      </c>
      <c r="U9" s="230">
        <v>7</v>
      </c>
      <c r="V9" s="231">
        <v>11</v>
      </c>
      <c r="W9" s="232">
        <v>6.5</v>
      </c>
      <c r="X9" s="233">
        <v>2</v>
      </c>
      <c r="Z9" s="370">
        <v>7</v>
      </c>
      <c r="AA9" s="367">
        <v>11</v>
      </c>
      <c r="AB9" s="233">
        <v>5</v>
      </c>
      <c r="AD9" s="370">
        <v>7</v>
      </c>
      <c r="AE9" s="367">
        <v>10</v>
      </c>
      <c r="AF9" s="233">
        <v>4.5</v>
      </c>
      <c r="AH9" s="370">
        <v>7</v>
      </c>
      <c r="AI9" s="367">
        <v>10</v>
      </c>
      <c r="AJ9" s="233">
        <v>5</v>
      </c>
      <c r="AL9" s="370">
        <v>7</v>
      </c>
      <c r="AM9" s="367">
        <v>10</v>
      </c>
      <c r="AN9" s="233">
        <v>5.5</v>
      </c>
    </row>
    <row r="10" spans="1:40" x14ac:dyDescent="0.2">
      <c r="A10" s="230">
        <v>8</v>
      </c>
      <c r="B10" s="231">
        <v>11.5</v>
      </c>
      <c r="C10" s="232">
        <v>6</v>
      </c>
      <c r="D10" s="233">
        <v>0.5</v>
      </c>
      <c r="F10" s="230">
        <v>8</v>
      </c>
      <c r="G10" s="231">
        <v>11.5</v>
      </c>
      <c r="H10" s="232">
        <v>6</v>
      </c>
      <c r="I10" s="233">
        <v>1</v>
      </c>
      <c r="K10" s="230">
        <v>8</v>
      </c>
      <c r="L10" s="231">
        <v>11.5</v>
      </c>
      <c r="M10" s="232">
        <v>6.5</v>
      </c>
      <c r="N10" s="233">
        <v>1.5</v>
      </c>
      <c r="P10" s="230">
        <v>8</v>
      </c>
      <c r="Q10" s="231">
        <v>10.5</v>
      </c>
      <c r="R10" s="232">
        <v>5.5</v>
      </c>
      <c r="S10" s="233">
        <v>1</v>
      </c>
      <c r="U10" s="230">
        <v>8</v>
      </c>
      <c r="V10" s="231">
        <v>10.5</v>
      </c>
      <c r="W10" s="232">
        <v>6</v>
      </c>
      <c r="X10" s="233">
        <v>1.5</v>
      </c>
      <c r="Z10" s="370">
        <v>8</v>
      </c>
      <c r="AA10" s="367">
        <v>10.5</v>
      </c>
      <c r="AB10" s="233">
        <v>4.5</v>
      </c>
      <c r="AD10" s="370">
        <v>8</v>
      </c>
      <c r="AE10" s="367">
        <v>9.5</v>
      </c>
      <c r="AF10" s="233">
        <v>4</v>
      </c>
      <c r="AH10" s="370">
        <v>8</v>
      </c>
      <c r="AI10" s="367">
        <v>9.5</v>
      </c>
      <c r="AJ10" s="233">
        <v>4.5</v>
      </c>
      <c r="AL10" s="373">
        <v>8</v>
      </c>
      <c r="AM10" s="374">
        <v>9.5</v>
      </c>
      <c r="AN10" s="375">
        <v>5</v>
      </c>
    </row>
    <row r="11" spans="1:40" ht="13.5" thickBot="1" x14ac:dyDescent="0.25">
      <c r="A11" s="230">
        <v>9</v>
      </c>
      <c r="B11" s="231">
        <v>11</v>
      </c>
      <c r="C11" s="232">
        <v>5.5</v>
      </c>
      <c r="D11" s="233">
        <v>0</v>
      </c>
      <c r="F11" s="230">
        <v>9</v>
      </c>
      <c r="G11" s="231">
        <v>11</v>
      </c>
      <c r="H11" s="232">
        <v>5.5</v>
      </c>
      <c r="I11" s="233">
        <v>0.5</v>
      </c>
      <c r="K11" s="230">
        <v>9</v>
      </c>
      <c r="L11" s="231">
        <v>11</v>
      </c>
      <c r="M11" s="232">
        <v>6</v>
      </c>
      <c r="N11" s="233">
        <v>1</v>
      </c>
      <c r="P11" s="234">
        <v>9</v>
      </c>
      <c r="Q11" s="235">
        <v>10</v>
      </c>
      <c r="R11" s="236"/>
      <c r="S11" s="237"/>
      <c r="U11" s="234"/>
      <c r="V11" s="235"/>
      <c r="W11" s="236"/>
      <c r="X11" s="237"/>
      <c r="Z11" s="370">
        <v>9</v>
      </c>
      <c r="AA11" s="367">
        <v>10</v>
      </c>
      <c r="AB11" s="233">
        <v>4</v>
      </c>
      <c r="AD11" s="370">
        <v>9</v>
      </c>
      <c r="AE11" s="367">
        <v>9</v>
      </c>
      <c r="AF11" s="233">
        <v>3.5</v>
      </c>
      <c r="AH11" s="370">
        <v>9</v>
      </c>
      <c r="AI11" s="367">
        <v>9</v>
      </c>
      <c r="AJ11" s="233">
        <v>4</v>
      </c>
      <c r="AL11" s="376"/>
      <c r="AM11" s="376"/>
      <c r="AN11" s="376"/>
    </row>
    <row r="12" spans="1:40" ht="13.5" thickBot="1" x14ac:dyDescent="0.25">
      <c r="A12" s="234">
        <v>10</v>
      </c>
      <c r="B12" s="235">
        <v>10.5</v>
      </c>
      <c r="C12" s="236">
        <v>5</v>
      </c>
      <c r="D12" s="237">
        <v>0</v>
      </c>
      <c r="F12" s="234">
        <v>10</v>
      </c>
      <c r="G12" s="235">
        <v>10.5</v>
      </c>
      <c r="H12" s="236"/>
      <c r="I12" s="237"/>
      <c r="K12" s="234"/>
      <c r="L12" s="235"/>
      <c r="M12" s="236"/>
      <c r="N12" s="237"/>
      <c r="Z12" s="370">
        <v>10</v>
      </c>
      <c r="AA12" s="367">
        <v>9.5</v>
      </c>
      <c r="AB12" s="233">
        <v>3.5</v>
      </c>
      <c r="AD12" s="370">
        <v>10</v>
      </c>
      <c r="AE12" s="367">
        <v>8.5</v>
      </c>
      <c r="AF12" s="233">
        <v>3</v>
      </c>
      <c r="AL12" s="222" t="s">
        <v>288</v>
      </c>
    </row>
    <row r="13" spans="1:40" ht="15.75" customHeight="1" thickBot="1" x14ac:dyDescent="0.25">
      <c r="Z13" s="371">
        <v>11</v>
      </c>
      <c r="AA13" s="372">
        <v>9</v>
      </c>
      <c r="AB13" s="237">
        <v>3</v>
      </c>
      <c r="AH13" s="356" t="s">
        <v>287</v>
      </c>
      <c r="AI13" s="356"/>
      <c r="AJ13" s="356"/>
      <c r="AL13" s="232">
        <v>1</v>
      </c>
      <c r="AM13" s="232">
        <v>15</v>
      </c>
    </row>
    <row r="14" spans="1:40" ht="13.5" thickBot="1" x14ac:dyDescent="0.25">
      <c r="AH14" s="363"/>
      <c r="AI14" s="364" t="s">
        <v>222</v>
      </c>
      <c r="AJ14" s="364" t="s">
        <v>223</v>
      </c>
      <c r="AL14" s="232">
        <v>2</v>
      </c>
      <c r="AM14" s="232">
        <v>14</v>
      </c>
    </row>
    <row r="15" spans="1:40" ht="15.75" customHeight="1" thickBot="1" x14ac:dyDescent="0.25">
      <c r="A15" s="357" t="s">
        <v>227</v>
      </c>
      <c r="B15" s="358"/>
      <c r="C15" s="358"/>
      <c r="D15" s="358"/>
      <c r="E15" s="358"/>
      <c r="F15" s="358"/>
      <c r="G15" s="358"/>
      <c r="H15" s="358"/>
      <c r="I15" s="358"/>
      <c r="J15" s="358"/>
      <c r="K15" s="358"/>
      <c r="L15" s="359"/>
      <c r="M15" s="362"/>
      <c r="N15" s="362"/>
      <c r="AH15" s="369">
        <v>1</v>
      </c>
      <c r="AI15" s="366">
        <v>15</v>
      </c>
      <c r="AJ15" s="229">
        <v>10.5</v>
      </c>
      <c r="AL15" s="232">
        <v>3</v>
      </c>
      <c r="AM15" s="232">
        <v>13</v>
      </c>
    </row>
    <row r="16" spans="1:40" ht="15.75" customHeight="1" thickBot="1" x14ac:dyDescent="0.25">
      <c r="A16" s="328"/>
      <c r="B16" s="381" t="s">
        <v>228</v>
      </c>
      <c r="C16" s="360"/>
      <c r="D16" s="360"/>
      <c r="E16" s="360"/>
      <c r="F16" s="360"/>
      <c r="G16" s="360"/>
      <c r="H16" s="360"/>
      <c r="I16" s="360"/>
      <c r="J16" s="360"/>
      <c r="K16" s="360"/>
      <c r="L16" s="361"/>
      <c r="M16" s="239" t="s">
        <v>229</v>
      </c>
      <c r="N16" s="240" t="s">
        <v>230</v>
      </c>
      <c r="AH16" s="370">
        <v>2</v>
      </c>
      <c r="AI16" s="367">
        <v>14</v>
      </c>
      <c r="AJ16" s="233">
        <v>9.5</v>
      </c>
      <c r="AL16" s="232">
        <v>4</v>
      </c>
      <c r="AM16" s="232">
        <v>12</v>
      </c>
    </row>
    <row r="17" spans="1:39" ht="13.5" thickBot="1" x14ac:dyDescent="0.25">
      <c r="A17" s="383"/>
      <c r="B17" s="363" t="s">
        <v>290</v>
      </c>
      <c r="C17" s="382" t="s">
        <v>289</v>
      </c>
      <c r="D17" s="378" t="s">
        <v>231</v>
      </c>
      <c r="E17" s="378" t="s">
        <v>232</v>
      </c>
      <c r="F17" s="378" t="s">
        <v>233</v>
      </c>
      <c r="G17" s="378" t="s">
        <v>234</v>
      </c>
      <c r="H17" s="378" t="s">
        <v>235</v>
      </c>
      <c r="I17" s="378" t="s">
        <v>236</v>
      </c>
      <c r="J17" s="378" t="s">
        <v>237</v>
      </c>
      <c r="K17" s="378" t="s">
        <v>238</v>
      </c>
      <c r="L17" s="379" t="s">
        <v>239</v>
      </c>
      <c r="M17" s="241"/>
      <c r="N17" s="241"/>
      <c r="AH17" s="370">
        <v>3</v>
      </c>
      <c r="AI17" s="367">
        <v>13</v>
      </c>
      <c r="AJ17" s="233">
        <v>8.5</v>
      </c>
      <c r="AL17" s="232">
        <v>5</v>
      </c>
      <c r="AM17" s="232">
        <v>11</v>
      </c>
    </row>
    <row r="18" spans="1:39" x14ac:dyDescent="0.2">
      <c r="A18" s="242">
        <v>1</v>
      </c>
      <c r="B18" s="227">
        <v>1.3</v>
      </c>
      <c r="C18" s="228">
        <v>1.3</v>
      </c>
      <c r="D18" s="380">
        <v>1.2</v>
      </c>
      <c r="E18" s="380">
        <v>1.2</v>
      </c>
      <c r="F18" s="380">
        <v>1.2</v>
      </c>
      <c r="G18" s="380">
        <v>1.1000000000000001</v>
      </c>
      <c r="H18" s="380">
        <v>1</v>
      </c>
      <c r="I18" s="380">
        <v>0.9</v>
      </c>
      <c r="J18" s="380">
        <v>0.8</v>
      </c>
      <c r="K18" s="380">
        <v>0.7</v>
      </c>
      <c r="L18" s="384">
        <v>0.7</v>
      </c>
      <c r="M18" s="242">
        <v>0.7</v>
      </c>
      <c r="N18" s="243">
        <v>0.5</v>
      </c>
      <c r="AH18" s="370">
        <v>4</v>
      </c>
      <c r="AI18" s="367">
        <v>12</v>
      </c>
      <c r="AJ18" s="233">
        <v>7.5</v>
      </c>
      <c r="AL18" s="232">
        <v>6</v>
      </c>
      <c r="AM18" s="232">
        <v>10.5</v>
      </c>
    </row>
    <row r="19" spans="1:39" x14ac:dyDescent="0.2">
      <c r="A19" s="244">
        <v>2</v>
      </c>
      <c r="B19" s="231"/>
      <c r="C19" s="232">
        <f>C18+D18</f>
        <v>2.5</v>
      </c>
      <c r="D19" s="245">
        <f t="shared" ref="D19:K19" si="0">D18+E18</f>
        <v>2.4</v>
      </c>
      <c r="E19" s="245">
        <f t="shared" si="0"/>
        <v>2.4</v>
      </c>
      <c r="F19" s="245">
        <f t="shared" si="0"/>
        <v>2.2999999999999998</v>
      </c>
      <c r="G19" s="245">
        <f t="shared" si="0"/>
        <v>2.1</v>
      </c>
      <c r="H19" s="245">
        <f t="shared" si="0"/>
        <v>1.9</v>
      </c>
      <c r="I19" s="245">
        <f t="shared" si="0"/>
        <v>1.7000000000000002</v>
      </c>
      <c r="J19" s="245">
        <f t="shared" si="0"/>
        <v>1.5</v>
      </c>
      <c r="K19" s="245">
        <f t="shared" si="0"/>
        <v>1.4</v>
      </c>
      <c r="L19" s="246"/>
      <c r="M19" s="244">
        <v>1.4</v>
      </c>
      <c r="N19" s="247">
        <v>1</v>
      </c>
      <c r="AH19" s="370">
        <v>5</v>
      </c>
      <c r="AI19" s="367">
        <v>11</v>
      </c>
      <c r="AJ19" s="233">
        <v>6.5</v>
      </c>
      <c r="AL19" s="232">
        <v>7</v>
      </c>
      <c r="AM19" s="232">
        <v>10</v>
      </c>
    </row>
    <row r="20" spans="1:39" x14ac:dyDescent="0.2">
      <c r="A20" s="244">
        <v>3</v>
      </c>
      <c r="B20" s="231"/>
      <c r="C20" s="232">
        <f>C19+E18</f>
        <v>3.7</v>
      </c>
      <c r="D20" s="245">
        <f>D19+F18</f>
        <v>3.5999999999999996</v>
      </c>
      <c r="E20" s="245">
        <f>E19+G18</f>
        <v>3.5</v>
      </c>
      <c r="F20" s="245">
        <f>F19+H18</f>
        <v>3.3</v>
      </c>
      <c r="G20" s="245">
        <f>G19+I18</f>
        <v>3</v>
      </c>
      <c r="H20" s="245">
        <f>H19+I18</f>
        <v>2.8</v>
      </c>
      <c r="I20" s="245">
        <f>I19+K18</f>
        <v>2.4000000000000004</v>
      </c>
      <c r="J20" s="245">
        <f>J19+L18</f>
        <v>2.2000000000000002</v>
      </c>
      <c r="K20" s="245"/>
      <c r="L20" s="246"/>
      <c r="M20" s="244">
        <v>2.1</v>
      </c>
      <c r="N20" s="247">
        <v>1.5</v>
      </c>
      <c r="AH20" s="370">
        <v>6</v>
      </c>
      <c r="AI20" s="367">
        <v>10.5</v>
      </c>
      <c r="AJ20" s="233">
        <v>6</v>
      </c>
      <c r="AL20" s="232">
        <v>8</v>
      </c>
      <c r="AM20" s="232">
        <v>9.5</v>
      </c>
    </row>
    <row r="21" spans="1:39" x14ac:dyDescent="0.2">
      <c r="A21" s="244">
        <v>4</v>
      </c>
      <c r="B21" s="231"/>
      <c r="C21" s="232">
        <f>C20+F18</f>
        <v>4.9000000000000004</v>
      </c>
      <c r="D21" s="245">
        <f t="shared" ref="D21:I21" si="1">D20+G18</f>
        <v>4.6999999999999993</v>
      </c>
      <c r="E21" s="245">
        <f t="shared" si="1"/>
        <v>4.5</v>
      </c>
      <c r="F21" s="245">
        <f t="shared" si="1"/>
        <v>4.2</v>
      </c>
      <c r="G21" s="245">
        <f t="shared" si="1"/>
        <v>3.8</v>
      </c>
      <c r="H21" s="245">
        <f t="shared" si="1"/>
        <v>3.5</v>
      </c>
      <c r="I21" s="245">
        <f t="shared" si="1"/>
        <v>3.1000000000000005</v>
      </c>
      <c r="J21" s="245"/>
      <c r="K21" s="245"/>
      <c r="L21" s="246"/>
      <c r="M21" s="244">
        <v>2.8</v>
      </c>
      <c r="N21" s="247">
        <v>2</v>
      </c>
      <c r="AH21" s="370">
        <v>7</v>
      </c>
      <c r="AI21" s="367">
        <v>10</v>
      </c>
      <c r="AJ21" s="233">
        <v>5.5</v>
      </c>
      <c r="AL21" s="232">
        <v>9</v>
      </c>
      <c r="AM21" s="232">
        <v>9</v>
      </c>
    </row>
    <row r="22" spans="1:39" x14ac:dyDescent="0.2">
      <c r="A22" s="244">
        <v>5</v>
      </c>
      <c r="B22" s="231"/>
      <c r="C22" s="232">
        <f>C21+G18</f>
        <v>6</v>
      </c>
      <c r="D22" s="245">
        <f>D21+H18</f>
        <v>5.6999999999999993</v>
      </c>
      <c r="E22" s="245">
        <f>E21+I18</f>
        <v>5.4</v>
      </c>
      <c r="F22" s="245">
        <f>F21+J18</f>
        <v>5</v>
      </c>
      <c r="G22" s="245">
        <f>G21+K18</f>
        <v>4.5</v>
      </c>
      <c r="H22" s="245">
        <f>H21+L18</f>
        <v>4.2</v>
      </c>
      <c r="I22" s="245"/>
      <c r="J22" s="245"/>
      <c r="K22" s="245"/>
      <c r="L22" s="246"/>
      <c r="M22" s="244">
        <v>3.5</v>
      </c>
      <c r="N22" s="247">
        <v>2.5</v>
      </c>
      <c r="AL22" s="232">
        <v>10</v>
      </c>
      <c r="AM22" s="232">
        <v>8.5</v>
      </c>
    </row>
    <row r="23" spans="1:39" x14ac:dyDescent="0.2">
      <c r="A23" s="244">
        <v>6</v>
      </c>
      <c r="B23" s="231" t="s">
        <v>271</v>
      </c>
      <c r="C23" s="232">
        <f>C22+H18</f>
        <v>7</v>
      </c>
      <c r="D23" s="245">
        <f>D22+I18</f>
        <v>6.6</v>
      </c>
      <c r="E23" s="245">
        <f>E22+J18</f>
        <v>6.2</v>
      </c>
      <c r="F23" s="245">
        <f>F22+K18</f>
        <v>5.7</v>
      </c>
      <c r="G23" s="245">
        <f>G22+L18</f>
        <v>5.2</v>
      </c>
      <c r="H23" s="245"/>
      <c r="I23" s="245"/>
      <c r="J23" s="245"/>
      <c r="K23" s="245"/>
      <c r="L23" s="246"/>
      <c r="M23" s="244">
        <v>4.2</v>
      </c>
      <c r="N23" s="247">
        <v>3</v>
      </c>
      <c r="AL23" s="232">
        <v>11</v>
      </c>
      <c r="AM23" s="232">
        <v>8</v>
      </c>
    </row>
    <row r="24" spans="1:39" x14ac:dyDescent="0.2">
      <c r="A24" s="244">
        <v>7</v>
      </c>
      <c r="B24" s="231"/>
      <c r="C24" s="232">
        <f>C23+I18</f>
        <v>7.9</v>
      </c>
      <c r="D24" s="245">
        <f>D23+J18</f>
        <v>7.3999999999999995</v>
      </c>
      <c r="E24" s="245">
        <f>E23+K18</f>
        <v>6.9</v>
      </c>
      <c r="F24" s="245">
        <f>F23+L18</f>
        <v>6.4</v>
      </c>
      <c r="G24" s="245"/>
      <c r="H24" s="245"/>
      <c r="I24" s="245"/>
      <c r="J24" s="245"/>
      <c r="K24" s="245"/>
      <c r="L24" s="246"/>
      <c r="M24" s="244">
        <v>4.9000000000000004</v>
      </c>
      <c r="N24" s="247">
        <v>3.5</v>
      </c>
      <c r="AL24" s="232">
        <v>12</v>
      </c>
      <c r="AM24" s="232">
        <v>7.5</v>
      </c>
    </row>
    <row r="25" spans="1:39" x14ac:dyDescent="0.2">
      <c r="A25" s="244">
        <v>8</v>
      </c>
      <c r="B25" s="231"/>
      <c r="C25" s="232">
        <f>C24+J18</f>
        <v>8.7000000000000011</v>
      </c>
      <c r="D25" s="245">
        <f>D24+K18</f>
        <v>8.1</v>
      </c>
      <c r="E25" s="245">
        <f>E24+L18</f>
        <v>7.6000000000000005</v>
      </c>
      <c r="F25" s="245"/>
      <c r="G25" s="245"/>
      <c r="H25" s="245"/>
      <c r="I25" s="245"/>
      <c r="J25" s="245"/>
      <c r="K25" s="245"/>
      <c r="L25" s="246"/>
      <c r="M25" s="244">
        <v>5.6</v>
      </c>
      <c r="N25" s="247">
        <v>4</v>
      </c>
      <c r="AH25" s="377"/>
      <c r="AI25" s="377"/>
    </row>
    <row r="26" spans="1:39" x14ac:dyDescent="0.2">
      <c r="A26" s="244">
        <v>9</v>
      </c>
      <c r="B26" s="231"/>
      <c r="C26" s="232">
        <f>C25+K18</f>
        <v>9.4</v>
      </c>
      <c r="D26" s="245">
        <f>D25+L18</f>
        <v>8.7999999999999989</v>
      </c>
      <c r="E26" s="245"/>
      <c r="F26" s="245"/>
      <c r="G26" s="245"/>
      <c r="H26" s="245"/>
      <c r="I26" s="245"/>
      <c r="J26" s="245"/>
      <c r="K26" s="245"/>
      <c r="L26" s="246"/>
      <c r="M26" s="244">
        <v>6.3</v>
      </c>
      <c r="N26" s="247">
        <v>4.5</v>
      </c>
      <c r="AH26" s="377"/>
      <c r="AI26" s="377"/>
    </row>
    <row r="27" spans="1:39" x14ac:dyDescent="0.2">
      <c r="A27" s="230">
        <v>10</v>
      </c>
      <c r="B27" s="231"/>
      <c r="C27" s="232">
        <f>C26+L18</f>
        <v>10.1</v>
      </c>
      <c r="D27" s="232"/>
      <c r="E27" s="365"/>
      <c r="F27" s="365"/>
      <c r="G27" s="365"/>
      <c r="H27" s="365"/>
      <c r="I27" s="365"/>
      <c r="J27" s="365"/>
      <c r="K27" s="365"/>
      <c r="L27" s="385"/>
      <c r="M27" s="230">
        <v>7</v>
      </c>
      <c r="N27" s="387">
        <v>5</v>
      </c>
    </row>
    <row r="28" spans="1:39" ht="13.5" thickBot="1" x14ac:dyDescent="0.25">
      <c r="A28" s="234">
        <v>11</v>
      </c>
      <c r="B28" s="235"/>
      <c r="C28" s="236"/>
      <c r="D28" s="236"/>
      <c r="E28" s="368"/>
      <c r="F28" s="368"/>
      <c r="G28" s="368"/>
      <c r="H28" s="368"/>
      <c r="I28" s="368"/>
      <c r="J28" s="368"/>
      <c r="K28" s="368"/>
      <c r="L28" s="386"/>
      <c r="M28" s="234">
        <v>7.7</v>
      </c>
      <c r="N28" s="388">
        <v>5.5</v>
      </c>
    </row>
  </sheetData>
  <mergeCells count="12">
    <mergeCell ref="AD1:AF1"/>
    <mergeCell ref="AH1:AJ1"/>
    <mergeCell ref="AL1:AN1"/>
    <mergeCell ref="AH13:AJ13"/>
    <mergeCell ref="A1:D1"/>
    <mergeCell ref="K1:N1"/>
    <mergeCell ref="F1:I1"/>
    <mergeCell ref="P1:S1"/>
    <mergeCell ref="Z1:AB1"/>
    <mergeCell ref="U1:X1"/>
    <mergeCell ref="A15:L15"/>
    <mergeCell ref="B16:L16"/>
  </mergeCells>
  <pageMargins left="0.75" right="0.75" top="1" bottom="1" header="0.5" footer="0.5"/>
  <pageSetup paperSize="9" orientation="portrait" verticalDpi="0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20</vt:i4>
      </vt:variant>
    </vt:vector>
  </HeadingPairs>
  <TitlesOfParts>
    <vt:vector size="20" baseType="lpstr">
      <vt:lpstr>21.06</vt:lpstr>
      <vt:lpstr>28.06</vt:lpstr>
      <vt:lpstr>05.07</vt:lpstr>
      <vt:lpstr>12.07 </vt:lpstr>
      <vt:lpstr>19.07</vt:lpstr>
      <vt:lpstr>26.07</vt:lpstr>
      <vt:lpstr>02.08</vt:lpstr>
      <vt:lpstr>09.08</vt:lpstr>
      <vt:lpstr>16.08</vt:lpstr>
      <vt:lpstr>30.08</vt:lpstr>
      <vt:lpstr>06.09</vt:lpstr>
      <vt:lpstr>13.09</vt:lpstr>
      <vt:lpstr>20.09</vt:lpstr>
      <vt:lpstr>27.09</vt:lpstr>
      <vt:lpstr>04.10</vt:lpstr>
      <vt:lpstr>11.10</vt:lpstr>
      <vt:lpstr>18.10 </vt:lpstr>
      <vt:lpstr>25.10</vt:lpstr>
      <vt:lpstr>Очки</vt:lpstr>
      <vt:lpstr>Лист2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2016-10-25T19:56:45Z</dcterms:modified>
</cp:coreProperties>
</file>