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60" windowHeight="8280" tabRatio="781" activeTab="4"/>
  </bookViews>
  <sheets>
    <sheet name="Общие результаты" sheetId="4" r:id="rId1"/>
    <sheet name="Регистрация" sheetId="5" r:id="rId2"/>
    <sheet name="Kozak I razboiniki" sheetId="26" r:id="rId3"/>
    <sheet name="Shum" sheetId="19" r:id="rId4"/>
    <sheet name="Winni" sheetId="24" r:id="rId5"/>
    <sheet name="Fortune" sheetId="18" r:id="rId6"/>
    <sheet name="Отряд СС" sheetId="17" r:id="rId7"/>
    <sheet name="FNT" sheetId="25" r:id="rId8"/>
    <sheet name="Levi 9" sheetId="6" r:id="rId9"/>
    <sheet name="chaykaschool" sheetId="21" r:id="rId10"/>
    <sheet name="Gopniki" sheetId="22" r:id="rId11"/>
    <sheet name="Forza Team" sheetId="20" r:id="rId12"/>
  </sheets>
  <calcPr calcId="152511"/>
</workbook>
</file>

<file path=xl/calcChain.xml><?xml version="1.0" encoding="utf-8"?>
<calcChain xmlns="http://schemas.openxmlformats.org/spreadsheetml/2006/main">
  <c r="I15" i="25" l="1"/>
  <c r="I14" i="25"/>
  <c r="F15" i="25"/>
  <c r="F14" i="25"/>
  <c r="G15" i="25"/>
  <c r="G14" i="25"/>
  <c r="G12" i="19"/>
  <c r="F15" i="24" l="1"/>
  <c r="F14" i="24"/>
  <c r="F15" i="18"/>
  <c r="F14" i="18"/>
  <c r="F16" i="22"/>
  <c r="F15" i="22"/>
  <c r="G13" i="20" l="1"/>
  <c r="G12" i="20"/>
  <c r="G11" i="20"/>
  <c r="G10" i="22"/>
  <c r="G15" i="22" s="1"/>
  <c r="G10" i="20"/>
  <c r="G14" i="22"/>
  <c r="G13" i="22"/>
  <c r="G12" i="22"/>
  <c r="G11" i="22"/>
  <c r="G13" i="21"/>
  <c r="G12" i="21"/>
  <c r="G11" i="21"/>
  <c r="G15" i="21" s="1"/>
  <c r="G10" i="21"/>
  <c r="G13" i="6"/>
  <c r="G12" i="6"/>
  <c r="G11" i="6"/>
  <c r="G10" i="6"/>
  <c r="G13" i="25"/>
  <c r="G12" i="25"/>
  <c r="G11" i="25"/>
  <c r="G10" i="25"/>
  <c r="G13" i="17"/>
  <c r="G12" i="17"/>
  <c r="G11" i="17"/>
  <c r="G15" i="17" s="1"/>
  <c r="G10" i="17"/>
  <c r="G13" i="18"/>
  <c r="G13" i="19"/>
  <c r="G14" i="19"/>
  <c r="G11" i="19"/>
  <c r="G12" i="18"/>
  <c r="G11" i="18"/>
  <c r="G15" i="18" s="1"/>
  <c r="G13" i="26"/>
  <c r="G15" i="26" s="1"/>
  <c r="G12" i="26"/>
  <c r="G11" i="26"/>
  <c r="G10" i="26"/>
  <c r="G10" i="18"/>
  <c r="G14" i="18" s="1"/>
  <c r="G13" i="24"/>
  <c r="G12" i="24"/>
  <c r="G11" i="24"/>
  <c r="G10" i="24"/>
  <c r="G14" i="24" s="1"/>
  <c r="F15" i="21"/>
  <c r="G14" i="21"/>
  <c r="F14" i="21"/>
  <c r="G15" i="20"/>
  <c r="F15" i="20"/>
  <c r="G14" i="20"/>
  <c r="F14" i="20"/>
  <c r="F15" i="17"/>
  <c r="G14" i="17"/>
  <c r="F14" i="17"/>
  <c r="F15" i="6"/>
  <c r="F14" i="6"/>
  <c r="F15" i="26"/>
  <c r="G14" i="26"/>
  <c r="F14" i="26"/>
  <c r="G15" i="19"/>
  <c r="F15" i="19"/>
  <c r="G10" i="19"/>
  <c r="K13" i="22"/>
  <c r="I13" i="22"/>
  <c r="I14" i="22"/>
  <c r="E13" i="22"/>
  <c r="E14" i="22"/>
  <c r="K12" i="26"/>
  <c r="F14" i="19"/>
  <c r="G15" i="24" l="1"/>
  <c r="G14" i="6"/>
  <c r="G15" i="6"/>
  <c r="G16" i="22"/>
  <c r="I7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8" i="5"/>
  <c r="G16" i="26"/>
  <c r="F16" i="26"/>
  <c r="K13" i="26"/>
  <c r="I13" i="26"/>
  <c r="E13" i="26"/>
  <c r="L12" i="26"/>
  <c r="I12" i="26"/>
  <c r="E12" i="26"/>
  <c r="K11" i="26"/>
  <c r="L11" i="26" s="1"/>
  <c r="I11" i="26"/>
  <c r="E11" i="26"/>
  <c r="K10" i="26"/>
  <c r="L10" i="26" s="1"/>
  <c r="I10" i="26"/>
  <c r="I14" i="26" s="1"/>
  <c r="E10" i="26"/>
  <c r="G16" i="25"/>
  <c r="F16" i="25"/>
  <c r="K13" i="25"/>
  <c r="I13" i="25"/>
  <c r="E13" i="25"/>
  <c r="K12" i="25"/>
  <c r="L12" i="25" s="1"/>
  <c r="I12" i="25"/>
  <c r="E12" i="25"/>
  <c r="K11" i="25"/>
  <c r="I11" i="25"/>
  <c r="E11" i="25"/>
  <c r="L10" i="25"/>
  <c r="K10" i="25"/>
  <c r="I10" i="25"/>
  <c r="E10" i="25"/>
  <c r="G16" i="24"/>
  <c r="F16" i="24"/>
  <c r="K13" i="24"/>
  <c r="I13" i="24"/>
  <c r="E13" i="24"/>
  <c r="K12" i="24"/>
  <c r="I12" i="24"/>
  <c r="E12" i="24"/>
  <c r="K11" i="24"/>
  <c r="I11" i="24"/>
  <c r="I15" i="24" s="1"/>
  <c r="E11" i="24"/>
  <c r="K10" i="24"/>
  <c r="I10" i="24"/>
  <c r="I14" i="24" s="1"/>
  <c r="E10" i="24"/>
  <c r="G17" i="22"/>
  <c r="F17" i="22"/>
  <c r="K12" i="22"/>
  <c r="L12" i="22" s="1"/>
  <c r="I12" i="22"/>
  <c r="E12" i="22"/>
  <c r="K11" i="22"/>
  <c r="I11" i="22"/>
  <c r="I16" i="22" s="1"/>
  <c r="E11" i="22"/>
  <c r="K10" i="22"/>
  <c r="L10" i="22" s="1"/>
  <c r="I10" i="22"/>
  <c r="E10" i="22"/>
  <c r="G16" i="21"/>
  <c r="F16" i="21"/>
  <c r="K13" i="21"/>
  <c r="I13" i="21"/>
  <c r="E13" i="21"/>
  <c r="K12" i="21"/>
  <c r="I12" i="21"/>
  <c r="E12" i="21"/>
  <c r="K11" i="21"/>
  <c r="L11" i="21" s="1"/>
  <c r="I11" i="21"/>
  <c r="E11" i="21"/>
  <c r="K10" i="21"/>
  <c r="L10" i="21" s="1"/>
  <c r="I10" i="21"/>
  <c r="I14" i="21" s="1"/>
  <c r="E10" i="21"/>
  <c r="G16" i="20"/>
  <c r="F16" i="20"/>
  <c r="K13" i="20"/>
  <c r="L13" i="20" s="1"/>
  <c r="I13" i="20"/>
  <c r="E13" i="20"/>
  <c r="K12" i="20"/>
  <c r="L12" i="20" s="1"/>
  <c r="I12" i="20"/>
  <c r="E12" i="20"/>
  <c r="K11" i="20"/>
  <c r="L11" i="20" s="1"/>
  <c r="I11" i="20"/>
  <c r="I15" i="20" s="1"/>
  <c r="E11" i="20"/>
  <c r="K10" i="20"/>
  <c r="L10" i="20" s="1"/>
  <c r="I10" i="20"/>
  <c r="E10" i="20"/>
  <c r="G16" i="19"/>
  <c r="F16" i="19"/>
  <c r="K13" i="19"/>
  <c r="I13" i="19"/>
  <c r="E13" i="19"/>
  <c r="K12" i="19"/>
  <c r="I12" i="19"/>
  <c r="E12" i="19"/>
  <c r="K11" i="19"/>
  <c r="L11" i="19" s="1"/>
  <c r="I11" i="19"/>
  <c r="E11" i="19"/>
  <c r="K10" i="19"/>
  <c r="L10" i="19" s="1"/>
  <c r="I10" i="19"/>
  <c r="E10" i="19"/>
  <c r="G16" i="18"/>
  <c r="F16" i="18"/>
  <c r="K13" i="18"/>
  <c r="L13" i="18" s="1"/>
  <c r="I13" i="18"/>
  <c r="E13" i="18"/>
  <c r="K12" i="18"/>
  <c r="L12" i="18" s="1"/>
  <c r="I12" i="18"/>
  <c r="E12" i="18"/>
  <c r="K11" i="18"/>
  <c r="L11" i="18" s="1"/>
  <c r="I11" i="18"/>
  <c r="I15" i="18" s="1"/>
  <c r="E11" i="18"/>
  <c r="K10" i="18"/>
  <c r="L10" i="18" s="1"/>
  <c r="I10" i="18"/>
  <c r="E10" i="18"/>
  <c r="G16" i="17"/>
  <c r="F16" i="17"/>
  <c r="K13" i="17"/>
  <c r="I13" i="17"/>
  <c r="E13" i="17"/>
  <c r="K12" i="17"/>
  <c r="I12" i="17"/>
  <c r="E12" i="17"/>
  <c r="K11" i="17"/>
  <c r="L11" i="17" s="1"/>
  <c r="I11" i="17"/>
  <c r="E11" i="17"/>
  <c r="K10" i="17"/>
  <c r="L10" i="17" s="1"/>
  <c r="I10" i="17"/>
  <c r="I14" i="17" s="1"/>
  <c r="E10" i="17"/>
  <c r="L13" i="17" l="1"/>
  <c r="I14" i="18"/>
  <c r="I14" i="19"/>
  <c r="L13" i="19"/>
  <c r="I14" i="20"/>
  <c r="L13" i="25"/>
  <c r="I15" i="17"/>
  <c r="L12" i="17"/>
  <c r="I15" i="19"/>
  <c r="L12" i="19"/>
  <c r="I15" i="21"/>
  <c r="L12" i="21"/>
  <c r="I15" i="26"/>
  <c r="L11" i="25"/>
  <c r="L13" i="26"/>
  <c r="I17" i="22"/>
  <c r="L13" i="24"/>
  <c r="I16" i="20"/>
  <c r="I16" i="21"/>
  <c r="I16" i="17"/>
  <c r="I16" i="19"/>
  <c r="L13" i="21"/>
  <c r="I16" i="25"/>
  <c r="I16" i="18"/>
  <c r="I16" i="24"/>
  <c r="I16" i="26"/>
  <c r="L13" i="22"/>
  <c r="L11" i="22"/>
  <c r="L12" i="24"/>
  <c r="L10" i="24"/>
  <c r="L11" i="24"/>
  <c r="I15" i="22"/>
  <c r="J27" i="5"/>
  <c r="J28" i="5"/>
  <c r="K27" i="5" s="1"/>
  <c r="F16" i="6" l="1"/>
  <c r="K13" i="6"/>
  <c r="I13" i="6"/>
  <c r="E13" i="6"/>
  <c r="K12" i="6"/>
  <c r="I12" i="6"/>
  <c r="E12" i="6"/>
  <c r="K11" i="6"/>
  <c r="I11" i="6"/>
  <c r="I15" i="6" s="1"/>
  <c r="E11" i="6"/>
  <c r="K10" i="6"/>
  <c r="L10" i="6" s="1"/>
  <c r="I10" i="6"/>
  <c r="I14" i="6" s="1"/>
  <c r="G16" i="6"/>
  <c r="E10" i="6"/>
  <c r="J7" i="5"/>
  <c r="J8" i="5"/>
  <c r="J9" i="5"/>
  <c r="K9" i="5" s="1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L13" i="6" l="1"/>
  <c r="L12" i="6"/>
  <c r="K25" i="5"/>
  <c r="K15" i="5"/>
  <c r="K11" i="5"/>
  <c r="K7" i="5"/>
  <c r="K23" i="5"/>
  <c r="K19" i="5"/>
  <c r="K17" i="5"/>
  <c r="I16" i="6"/>
  <c r="L11" i="6"/>
  <c r="K21" i="5"/>
  <c r="K13" i="5"/>
</calcChain>
</file>

<file path=xl/comments1.xml><?xml version="1.0" encoding="utf-8"?>
<comments xmlns="http://schemas.openxmlformats.org/spreadsheetml/2006/main">
  <authors>
    <author>Автор</author>
  </authors>
  <commentList>
    <comment ref="H9" authorId="0" shape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 shape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 shape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 shape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 shape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 shape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 shape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 shape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 shape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 shape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<sst xmlns="http://schemas.openxmlformats.org/spreadsheetml/2006/main" count="423" uniqueCount="171">
  <si>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</si>
  <si>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</si>
  <si>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</si>
  <si>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</si>
  <si>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</si>
  <si>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</si>
  <si>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</si>
  <si>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</si>
  <si>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</si>
  <si>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</si>
  <si>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</si>
  <si>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</si>
  <si>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Kozak I razboiniki</t>
  </si>
  <si>
    <t>-</t>
  </si>
  <si>
    <t>Winni</t>
  </si>
  <si>
    <t>1 круг</t>
  </si>
  <si>
    <t>10-2</t>
  </si>
  <si>
    <t>Голубченко Саша</t>
  </si>
  <si>
    <t>10-1</t>
  </si>
  <si>
    <t>Манило Денис</t>
  </si>
  <si>
    <t>9-2</t>
  </si>
  <si>
    <t>9-1</t>
  </si>
  <si>
    <t>8-2</t>
  </si>
  <si>
    <t>Гобади Курош</t>
  </si>
  <si>
    <t>8-1</t>
  </si>
  <si>
    <t>Таволжан Виталий</t>
  </si>
  <si>
    <t>7-2</t>
  </si>
  <si>
    <t>6-2</t>
  </si>
  <si>
    <t>6-1</t>
  </si>
  <si>
    <t>Бахмацкий Олег</t>
  </si>
  <si>
    <t>4-2</t>
  </si>
  <si>
    <t>4-1</t>
  </si>
  <si>
    <t xml:space="preserve"> </t>
  </si>
  <si>
    <t>3-2</t>
  </si>
  <si>
    <t>3-1</t>
  </si>
  <si>
    <t>2-2</t>
  </si>
  <si>
    <t>2-1</t>
  </si>
  <si>
    <t>1-2</t>
  </si>
  <si>
    <t>1-1</t>
  </si>
  <si>
    <t>Среднее</t>
  </si>
  <si>
    <t>Итого</t>
  </si>
  <si>
    <t>бонус</t>
  </si>
  <si>
    <t>карт</t>
  </si>
  <si>
    <t>Квалификация</t>
  </si>
  <si>
    <t>Бонус</t>
  </si>
  <si>
    <t>Вес</t>
  </si>
  <si>
    <t>№</t>
  </si>
  <si>
    <t>Пилот</t>
  </si>
  <si>
    <t>Регистрационная форма</t>
  </si>
  <si>
    <t>5-1</t>
  </si>
  <si>
    <t>5-2</t>
  </si>
  <si>
    <t>7-1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</si>
  <si>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</si>
  <si>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</si>
  <si>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</si>
  <si>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</si>
  <si>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</si>
  <si>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</si>
  <si>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</si>
  <si>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</si>
  <si>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</si>
  <si>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</si>
  <si>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</si>
  <si>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</si>
  <si>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</si>
  <si>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</si>
  <si>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бонус за вес</t>
  </si>
  <si>
    <t>Финиш</t>
  </si>
  <si>
    <t>Денис</t>
  </si>
  <si>
    <t>Саша</t>
  </si>
  <si>
    <t>Лабинский Коля</t>
  </si>
  <si>
    <t>Шутка Виталий</t>
  </si>
  <si>
    <t>Пилипчук Василий</t>
  </si>
  <si>
    <t>Хлопонин Андрей</t>
  </si>
  <si>
    <t>11-1</t>
  </si>
  <si>
    <t>11-2</t>
  </si>
  <si>
    <t>Василий</t>
  </si>
  <si>
    <t>Виталий</t>
  </si>
  <si>
    <t>Курош</t>
  </si>
  <si>
    <t>Олег</t>
  </si>
  <si>
    <t>Сергей</t>
  </si>
  <si>
    <t>Влад</t>
  </si>
  <si>
    <t>Андрей</t>
  </si>
  <si>
    <t>Коля</t>
  </si>
  <si>
    <t>2 круга</t>
  </si>
  <si>
    <t>6 кругов</t>
  </si>
  <si>
    <t>2:15.16</t>
  </si>
  <si>
    <t>2:14.76</t>
  </si>
  <si>
    <t>2:16.57</t>
  </si>
  <si>
    <t>Чемпионат мини марафон "Большие Гонки", 9-й этап</t>
  </si>
  <si>
    <t>Серия мини марафонов "Большие Гонки 2016", 9-й этап, 27.08.16</t>
  </si>
  <si>
    <t>Конфигурация №1</t>
  </si>
  <si>
    <t>Серия мини марафонов "Большие Гонки", 27.08.2016, Конфигурация №1</t>
  </si>
  <si>
    <t>Бахмацкйи Олег</t>
  </si>
  <si>
    <t>Петушков Андрей</t>
  </si>
  <si>
    <t>Fortune</t>
  </si>
  <si>
    <t>Онащук Максим</t>
  </si>
  <si>
    <t>81,0</t>
  </si>
  <si>
    <t>Shum</t>
  </si>
  <si>
    <t>Доценко Анатолий</t>
  </si>
  <si>
    <t>Седнин Роман</t>
  </si>
  <si>
    <t>67,8</t>
  </si>
  <si>
    <t>73,6</t>
  </si>
  <si>
    <t>67,6</t>
  </si>
  <si>
    <t>80,8</t>
  </si>
  <si>
    <t>Chaykaschool</t>
  </si>
  <si>
    <t>Горбоконь Андрей</t>
  </si>
  <si>
    <t>76,2</t>
  </si>
  <si>
    <t>Forza Team</t>
  </si>
  <si>
    <t>Макаров Михаил</t>
  </si>
  <si>
    <t>Gopniki</t>
  </si>
  <si>
    <t>FNT</t>
  </si>
  <si>
    <t>Несторенко Андрей</t>
  </si>
  <si>
    <t>Плакидюк Виталий</t>
  </si>
  <si>
    <t>89,7</t>
  </si>
  <si>
    <t>92,0</t>
  </si>
  <si>
    <t>Levi 9</t>
  </si>
  <si>
    <t>Трофимено Иван</t>
  </si>
  <si>
    <t>Стецык Сергей</t>
  </si>
  <si>
    <t>Отряд СС</t>
  </si>
  <si>
    <t>Шендрик Влад</t>
  </si>
  <si>
    <t>85,4</t>
  </si>
  <si>
    <t>102,3</t>
  </si>
  <si>
    <t>Трофименко Иван</t>
  </si>
  <si>
    <t>chaykaschool</t>
  </si>
  <si>
    <t>Штраф за мин. Время</t>
  </si>
  <si>
    <t>Лабинский Николай</t>
  </si>
  <si>
    <t>Ваня</t>
  </si>
  <si>
    <t>1:55.02</t>
  </si>
  <si>
    <t>2:15.65</t>
  </si>
  <si>
    <t>2:23.11</t>
  </si>
  <si>
    <t>2:06.92</t>
  </si>
  <si>
    <t>2:19.94</t>
  </si>
  <si>
    <t>2:12.93</t>
  </si>
  <si>
    <t>1:38.17</t>
  </si>
  <si>
    <t>2:14.87</t>
  </si>
  <si>
    <t>штраф на трассе за выбивание</t>
  </si>
  <si>
    <t>2:00.23</t>
  </si>
  <si>
    <t>2:16.41</t>
  </si>
  <si>
    <t>2:20.51</t>
  </si>
  <si>
    <t>2:15.67</t>
  </si>
  <si>
    <t>2:16.05</t>
  </si>
  <si>
    <t>2:18.37</t>
  </si>
  <si>
    <t>2:05.04</t>
  </si>
  <si>
    <t>2:30.77</t>
  </si>
  <si>
    <t>Otryad SS</t>
  </si>
  <si>
    <t>Levi-9</t>
  </si>
  <si>
    <t>2:00:35.58</t>
  </si>
  <si>
    <t>4 круга</t>
  </si>
  <si>
    <t>Михаил</t>
  </si>
  <si>
    <t>2:22.04</t>
  </si>
  <si>
    <t>2:16.43</t>
  </si>
  <si>
    <t>линия пит-стопа</t>
  </si>
  <si>
    <t>2:15.17</t>
  </si>
  <si>
    <t>2:16.06</t>
  </si>
  <si>
    <t>Максим</t>
  </si>
  <si>
    <t>2:16.30</t>
  </si>
  <si>
    <t>2:15.21</t>
  </si>
  <si>
    <t>2:16.75</t>
  </si>
  <si>
    <t>2:07.12</t>
  </si>
  <si>
    <t>2:16.64</t>
  </si>
  <si>
    <t>Штраф, линия пит-стопа</t>
  </si>
  <si>
    <t>компенсация за поломку</t>
  </si>
  <si>
    <t>2:17.33</t>
  </si>
  <si>
    <t>Анатолий</t>
  </si>
  <si>
    <t>Роман</t>
  </si>
  <si>
    <t>2:25.56</t>
  </si>
  <si>
    <t>штраф, против 7</t>
  </si>
  <si>
    <t>штраф за неспортивное поведение</t>
  </si>
  <si>
    <t>штраф за нарушение против 4</t>
  </si>
  <si>
    <t>передержали по вине организаторов на первом пит-стопе, вернули на втором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</si>
</sst>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sz val="14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sz val="20"/>
      <color theme="1"/>
      <name val="Calibri"/>
      <family val="2"/>
      <charset val="204"/>
      <scheme val="minor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b/>
      <sz val="16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12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</font>
    <font>
      <sz val="16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72">
    <xf numFmtId="0" fontId="0" fillId="0" borderId="0" xfId="0"/>
    <xf numFmtId="0" fontId="3" fillId="0" borderId="0" xfId="1"/>
    <xf numFmtId="0" fontId="3" fillId="0" borderId="0" xfId="1" applyAlignment="1">
      <alignment horizontal="center"/>
    </xf>
    <xf numFmtId="0" fontId="3" fillId="0" borderId="0" xfId="1" applyAlignment="1">
      <alignment vertical="center"/>
    </xf>
    <xf numFmtId="0" fontId="3" fillId="0" borderId="11" xfId="1" applyBorder="1" applyAlignment="1">
      <alignment horizontal="center" vertical="center"/>
    </xf>
    <xf numFmtId="0" fontId="3" fillId="0" borderId="12" xfId="1" applyBorder="1" applyAlignment="1">
      <alignment horizontal="center" vertical="center"/>
    </xf>
    <xf numFmtId="0" fontId="3" fillId="0" borderId="13" xfId="1" applyBorder="1" applyAlignment="1">
      <alignment horizontal="center" vertical="center"/>
    </xf>
    <xf numFmtId="0" fontId="3" fillId="0" borderId="9" xfId="1" applyBorder="1" applyAlignment="1">
      <alignment horizontal="center" vertical="center"/>
    </xf>
    <xf numFmtId="0" fontId="3" fillId="0" borderId="0" xfId="1" applyAlignment="1">
      <alignment horizontal="center" vertical="center"/>
    </xf>
    <xf numFmtId="0" fontId="3" fillId="0" borderId="14" xfId="1" applyBorder="1" applyAlignment="1">
      <alignment horizontal="center" vertical="center"/>
    </xf>
    <xf numFmtId="0" fontId="3" fillId="0" borderId="7" xfId="1" applyFill="1" applyBorder="1" applyAlignment="1">
      <alignment horizontal="center" vertical="center"/>
    </xf>
    <xf numFmtId="164" fontId="3" fillId="0" borderId="4" xfId="1" applyNumberFormat="1" applyFill="1" applyBorder="1" applyAlignment="1">
      <alignment horizontal="center" vertical="center"/>
    </xf>
    <xf numFmtId="0" fontId="3" fillId="0" borderId="5" xfId="1" applyFill="1" applyBorder="1" applyAlignment="1">
      <alignment horizontal="center" vertical="center"/>
    </xf>
    <xf numFmtId="2" fontId="3" fillId="0" borderId="4" xfId="1" applyNumberFormat="1" applyFill="1" applyBorder="1" applyAlignment="1">
      <alignment horizontal="center" vertical="center"/>
    </xf>
    <xf numFmtId="0" fontId="3" fillId="0" borderId="17" xfId="1" applyBorder="1" applyAlignment="1">
      <alignment horizontal="center" vertical="center"/>
    </xf>
    <xf numFmtId="0" fontId="3" fillId="0" borderId="19" xfId="1" applyFill="1" applyBorder="1" applyAlignment="1">
      <alignment horizontal="center" vertical="center"/>
    </xf>
    <xf numFmtId="164" fontId="3" fillId="0" borderId="20" xfId="1" applyNumberFormat="1" applyFill="1" applyBorder="1" applyAlignment="1">
      <alignment horizontal="center" vertical="center"/>
    </xf>
    <xf numFmtId="0" fontId="3" fillId="0" borderId="21" xfId="1" applyFill="1" applyBorder="1" applyAlignment="1">
      <alignment horizontal="center" vertical="center"/>
    </xf>
    <xf numFmtId="2" fontId="3" fillId="0" borderId="23" xfId="1" applyNumberFormat="1" applyFill="1" applyBorder="1" applyAlignment="1">
      <alignment horizontal="center" vertical="center"/>
    </xf>
    <xf numFmtId="2" fontId="3" fillId="0" borderId="24" xfId="1" applyNumberFormat="1" applyFill="1" applyBorder="1" applyAlignment="1">
      <alignment horizontal="center" vertical="center"/>
    </xf>
    <xf numFmtId="2" fontId="3" fillId="0" borderId="20" xfId="1" applyNumberFormat="1" applyFill="1" applyBorder="1" applyAlignment="1">
      <alignment horizontal="center" vertical="center"/>
    </xf>
    <xf numFmtId="0" fontId="3" fillId="0" borderId="20" xfId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164" fontId="3" fillId="0" borderId="20" xfId="1" applyNumberFormat="1" applyFont="1" applyFill="1" applyBorder="1" applyAlignment="1">
      <alignment horizontal="center" vertical="center"/>
    </xf>
    <xf numFmtId="2" fontId="3" fillId="0" borderId="24" xfId="1" applyNumberFormat="1" applyFont="1" applyFill="1" applyBorder="1" applyAlignment="1">
      <alignment horizontal="center" vertical="center"/>
    </xf>
    <xf numFmtId="0" fontId="3" fillId="0" borderId="20" xfId="1" applyFont="1" applyFill="1" applyBorder="1" applyAlignment="1">
      <alignment horizontal="center" vertical="center"/>
    </xf>
    <xf numFmtId="0" fontId="3" fillId="0" borderId="25" xfId="1" applyBorder="1" applyAlignment="1">
      <alignment horizontal="center" vertical="center"/>
    </xf>
    <xf numFmtId="0" fontId="3" fillId="0" borderId="28" xfId="1" applyBorder="1" applyAlignment="1">
      <alignment horizontal="center" vertical="center"/>
    </xf>
    <xf numFmtId="0" fontId="3" fillId="0" borderId="29" xfId="1" applyBorder="1" applyAlignment="1">
      <alignment horizontal="center" vertical="center"/>
    </xf>
    <xf numFmtId="0" fontId="3" fillId="0" borderId="0" xfId="1" applyAlignment="1"/>
    <xf numFmtId="0" fontId="3" fillId="0" borderId="0" xfId="1" applyFill="1" applyBorder="1" applyAlignment="1"/>
    <xf numFmtId="0" fontId="7" fillId="0" borderId="33" xfId="1" applyFont="1" applyFill="1" applyBorder="1" applyAlignment="1">
      <alignment horizontal="center" vertical="center"/>
    </xf>
    <xf numFmtId="0" fontId="7" fillId="0" borderId="23" xfId="1" applyFont="1" applyFill="1" applyBorder="1" applyAlignment="1">
      <alignment horizontal="center" vertical="center"/>
    </xf>
    <xf numFmtId="0" fontId="6" fillId="0" borderId="22" xfId="1" applyFont="1" applyFill="1" applyBorder="1" applyAlignment="1">
      <alignment horizontal="center" vertical="center"/>
    </xf>
    <xf numFmtId="0" fontId="6" fillId="0" borderId="21" xfId="1" applyFont="1" applyFill="1" applyBorder="1" applyAlignment="1">
      <alignment horizontal="center" vertical="center"/>
    </xf>
    <xf numFmtId="49" fontId="6" fillId="0" borderId="22" xfId="1" applyNumberFormat="1" applyFont="1" applyFill="1" applyBorder="1" applyAlignment="1">
      <alignment horizontal="center" vertical="center"/>
    </xf>
    <xf numFmtId="0" fontId="7" fillId="0" borderId="36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/>
    </xf>
    <xf numFmtId="49" fontId="6" fillId="0" borderId="13" xfId="1" applyNumberFormat="1" applyFont="1" applyFill="1" applyBorder="1" applyAlignment="1">
      <alignment horizontal="center" vertical="center"/>
    </xf>
    <xf numFmtId="49" fontId="6" fillId="0" borderId="37" xfId="1" applyNumberFormat="1" applyFont="1" applyFill="1" applyBorder="1" applyAlignment="1">
      <alignment horizontal="center" vertical="center"/>
    </xf>
    <xf numFmtId="0" fontId="7" fillId="0" borderId="22" xfId="1" applyFont="1" applyFill="1" applyBorder="1" applyAlignment="1">
      <alignment horizontal="center" vertical="center"/>
    </xf>
    <xf numFmtId="0" fontId="7" fillId="0" borderId="21" xfId="1" applyFont="1" applyFill="1" applyBorder="1" applyAlignment="1">
      <alignment horizontal="center" vertical="center"/>
    </xf>
    <xf numFmtId="0" fontId="7" fillId="0" borderId="24" xfId="1" applyFont="1" applyFill="1" applyBorder="1" applyAlignment="1">
      <alignment horizontal="center" vertical="center"/>
    </xf>
    <xf numFmtId="165" fontId="7" fillId="0" borderId="24" xfId="1" applyNumberFormat="1" applyFont="1" applyFill="1" applyBorder="1" applyAlignment="1">
      <alignment horizontal="center" vertical="center"/>
    </xf>
    <xf numFmtId="0" fontId="7" fillId="0" borderId="39" xfId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/>
    </xf>
    <xf numFmtId="0" fontId="6" fillId="0" borderId="29" xfId="1" applyFont="1" applyBorder="1" applyAlignment="1">
      <alignment horizontal="center" vertical="center"/>
    </xf>
    <xf numFmtId="0" fontId="6" fillId="0" borderId="31" xfId="1" applyFont="1" applyBorder="1" applyAlignment="1">
      <alignment horizontal="center" vertical="center"/>
    </xf>
    <xf numFmtId="0" fontId="9" fillId="0" borderId="31" xfId="1" applyFont="1" applyBorder="1" applyAlignment="1">
      <alignment horizontal="center" vertical="center" wrapText="1"/>
    </xf>
    <xf numFmtId="0" fontId="4" fillId="0" borderId="30" xfId="1" applyFont="1" applyBorder="1" applyAlignment="1">
      <alignment horizontal="center" vertical="center" wrapText="1"/>
    </xf>
    <xf numFmtId="0" fontId="4" fillId="0" borderId="28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/>
    </xf>
    <xf numFmtId="49" fontId="6" fillId="0" borderId="4" xfId="1" applyNumberFormat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16" xfId="1" applyFont="1" applyFill="1" applyBorder="1" applyAlignment="1">
      <alignment horizontal="center" vertical="center"/>
    </xf>
    <xf numFmtId="49" fontId="6" fillId="0" borderId="20" xfId="1" applyNumberFormat="1" applyFont="1" applyFill="1" applyBorder="1" applyAlignment="1">
      <alignment horizontal="center" vertical="center"/>
    </xf>
    <xf numFmtId="49" fontId="6" fillId="0" borderId="38" xfId="1" applyNumberFormat="1" applyFont="1" applyFill="1" applyBorder="1" applyAlignment="1">
      <alignment horizontal="center" vertical="center"/>
    </xf>
    <xf numFmtId="49" fontId="6" fillId="0" borderId="11" xfId="1" applyNumberFormat="1" applyFont="1" applyFill="1" applyBorder="1" applyAlignment="1">
      <alignment horizontal="center" vertical="center"/>
    </xf>
    <xf numFmtId="49" fontId="6" fillId="0" borderId="28" xfId="1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3" fillId="0" borderId="35" xfId="1" applyFont="1" applyBorder="1" applyAlignment="1">
      <alignment horizontal="center" vertical="center" wrapText="1"/>
    </xf>
    <xf numFmtId="0" fontId="3" fillId="0" borderId="23" xfId="1" applyFont="1" applyBorder="1" applyAlignment="1">
      <alignment horizontal="center" vertical="center" wrapText="1"/>
    </xf>
    <xf numFmtId="0" fontId="13" fillId="0" borderId="23" xfId="1" applyFont="1" applyBorder="1" applyAlignment="1">
      <alignment horizontal="center" vertical="center" wrapText="1"/>
    </xf>
    <xf numFmtId="0" fontId="3" fillId="0" borderId="23" xfId="1" applyFont="1" applyBorder="1" applyAlignment="1">
      <alignment horizontal="center" wrapText="1"/>
    </xf>
    <xf numFmtId="0" fontId="14" fillId="0" borderId="23" xfId="1" applyFont="1" applyBorder="1" applyAlignment="1">
      <alignment horizontal="center" vertical="center"/>
    </xf>
    <xf numFmtId="0" fontId="15" fillId="0" borderId="23" xfId="1" applyFont="1" applyBorder="1" applyAlignment="1">
      <alignment vertical="center"/>
    </xf>
    <xf numFmtId="0" fontId="15" fillId="0" borderId="23" xfId="1" applyFont="1" applyBorder="1" applyAlignment="1">
      <alignment horizontal="center" vertical="center"/>
    </xf>
    <xf numFmtId="0" fontId="15" fillId="0" borderId="24" xfId="1" applyFont="1" applyFill="1" applyBorder="1" applyAlignment="1">
      <alignment horizontal="center" vertical="center"/>
    </xf>
    <xf numFmtId="0" fontId="16" fillId="0" borderId="23" xfId="1" applyFont="1" applyFill="1" applyBorder="1" applyAlignment="1">
      <alignment horizontal="center" vertical="center"/>
    </xf>
    <xf numFmtId="164" fontId="16" fillId="0" borderId="23" xfId="1" applyNumberFormat="1" applyFont="1" applyFill="1" applyBorder="1" applyAlignment="1">
      <alignment horizontal="center" vertical="center"/>
    </xf>
    <xf numFmtId="164" fontId="15" fillId="0" borderId="22" xfId="1" applyNumberFormat="1" applyFont="1" applyFill="1" applyBorder="1" applyAlignment="1">
      <alignment horizontal="center" vertical="center"/>
    </xf>
    <xf numFmtId="166" fontId="15" fillId="0" borderId="23" xfId="1" applyNumberFormat="1" applyFont="1" applyBorder="1" applyAlignment="1">
      <alignment horizontal="center" vertical="center"/>
    </xf>
    <xf numFmtId="166" fontId="17" fillId="0" borderId="23" xfId="1" applyNumberFormat="1" applyFont="1" applyBorder="1" applyAlignment="1">
      <alignment horizontal="center" vertical="center"/>
    </xf>
    <xf numFmtId="167" fontId="14" fillId="0" borderId="23" xfId="1" applyNumberFormat="1" applyFont="1" applyBorder="1" applyAlignment="1">
      <alignment horizontal="center" vertical="center" wrapText="1"/>
    </xf>
    <xf numFmtId="0" fontId="14" fillId="0" borderId="23" xfId="1" applyFont="1" applyBorder="1" applyAlignment="1">
      <alignment horizontal="center" vertical="center" wrapText="1"/>
    </xf>
    <xf numFmtId="164" fontId="18" fillId="0" borderId="23" xfId="1" applyNumberFormat="1" applyFont="1" applyFill="1" applyBorder="1" applyAlignment="1">
      <alignment horizontal="center" vertical="center"/>
    </xf>
    <xf numFmtId="0" fontId="19" fillId="2" borderId="41" xfId="1" applyFont="1" applyFill="1" applyBorder="1" applyAlignment="1">
      <alignment horizontal="center" vertical="center"/>
    </xf>
    <xf numFmtId="164" fontId="16" fillId="0" borderId="22" xfId="1" applyNumberFormat="1" applyFont="1" applyFill="1" applyBorder="1" applyAlignment="1">
      <alignment horizontal="center" vertical="center"/>
    </xf>
    <xf numFmtId="0" fontId="14" fillId="0" borderId="35" xfId="1" applyFont="1" applyBorder="1" applyAlignment="1">
      <alignment horizontal="center" vertical="center"/>
    </xf>
    <xf numFmtId="0" fontId="15" fillId="0" borderId="35" xfId="1" applyFont="1" applyBorder="1" applyAlignment="1">
      <alignment vertical="center"/>
    </xf>
    <xf numFmtId="0" fontId="15" fillId="0" borderId="35" xfId="1" applyFont="1" applyBorder="1" applyAlignment="1">
      <alignment horizontal="center" vertical="center"/>
    </xf>
    <xf numFmtId="2" fontId="19" fillId="0" borderId="41" xfId="1" applyNumberFormat="1" applyFont="1" applyFill="1" applyBorder="1" applyAlignment="1">
      <alignment horizontal="center" vertical="center"/>
    </xf>
    <xf numFmtId="164" fontId="16" fillId="0" borderId="13" xfId="1" applyNumberFormat="1" applyFont="1" applyFill="1" applyBorder="1" applyAlignment="1">
      <alignment horizontal="center" vertical="center"/>
    </xf>
    <xf numFmtId="0" fontId="16" fillId="0" borderId="35" xfId="1" applyFont="1" applyFill="1" applyBorder="1" applyAlignment="1">
      <alignment horizontal="center" vertical="center"/>
    </xf>
    <xf numFmtId="164" fontId="15" fillId="0" borderId="13" xfId="1" applyNumberFormat="1" applyFont="1" applyFill="1" applyBorder="1" applyAlignment="1">
      <alignment horizontal="center" vertical="center"/>
    </xf>
    <xf numFmtId="166" fontId="15" fillId="0" borderId="35" xfId="1" applyNumberFormat="1" applyFont="1" applyBorder="1" applyAlignment="1">
      <alignment horizontal="center" vertical="center"/>
    </xf>
    <xf numFmtId="0" fontId="14" fillId="0" borderId="43" xfId="1" applyFont="1" applyBorder="1" applyAlignment="1">
      <alignment horizontal="center" vertical="center"/>
    </xf>
    <xf numFmtId="0" fontId="15" fillId="0" borderId="43" xfId="1" applyFont="1" applyBorder="1" applyAlignment="1">
      <alignment vertical="center"/>
    </xf>
    <xf numFmtId="0" fontId="15" fillId="0" borderId="43" xfId="1" applyFont="1" applyBorder="1" applyAlignment="1">
      <alignment horizontal="center" vertical="center"/>
    </xf>
    <xf numFmtId="164" fontId="14" fillId="0" borderId="38" xfId="1" applyNumberFormat="1" applyFont="1" applyBorder="1" applyAlignment="1">
      <alignment horizontal="center" vertical="center"/>
    </xf>
    <xf numFmtId="164" fontId="14" fillId="0" borderId="16" xfId="1" applyNumberFormat="1" applyFont="1" applyBorder="1" applyAlignment="1">
      <alignment horizontal="center" vertical="center"/>
    </xf>
    <xf numFmtId="164" fontId="14" fillId="0" borderId="5" xfId="1" applyNumberFormat="1" applyFont="1" applyBorder="1" applyAlignment="1">
      <alignment horizontal="center" vertical="center"/>
    </xf>
    <xf numFmtId="0" fontId="14" fillId="0" borderId="0" xfId="1" applyFont="1" applyAlignment="1">
      <alignment vertical="center"/>
    </xf>
    <xf numFmtId="0" fontId="14" fillId="0" borderId="0" xfId="1" applyFont="1" applyBorder="1"/>
    <xf numFmtId="0" fontId="14" fillId="0" borderId="0" xfId="1" applyFont="1" applyBorder="1" applyAlignment="1">
      <alignment horizontal="center"/>
    </xf>
    <xf numFmtId="0" fontId="14" fillId="0" borderId="0" xfId="1" applyFont="1" applyAlignment="1">
      <alignment horizontal="center"/>
    </xf>
    <xf numFmtId="164" fontId="14" fillId="0" borderId="20" xfId="1" applyNumberFormat="1" applyFont="1" applyBorder="1" applyAlignment="1">
      <alignment horizontal="center" vertical="center"/>
    </xf>
    <xf numFmtId="164" fontId="14" fillId="0" borderId="23" xfId="1" applyNumberFormat="1" applyFont="1" applyBorder="1" applyAlignment="1">
      <alignment horizontal="center" vertical="center"/>
    </xf>
    <xf numFmtId="164" fontId="14" fillId="0" borderId="21" xfId="1" applyNumberFormat="1" applyFont="1" applyBorder="1" applyAlignment="1">
      <alignment horizontal="center" vertical="center"/>
    </xf>
    <xf numFmtId="0" fontId="14" fillId="0" borderId="0" xfId="1" applyFont="1"/>
    <xf numFmtId="164" fontId="14" fillId="3" borderId="28" xfId="1" applyNumberFormat="1" applyFont="1" applyFill="1" applyBorder="1" applyAlignment="1">
      <alignment horizontal="center" vertical="center"/>
    </xf>
    <xf numFmtId="164" fontId="14" fillId="3" borderId="31" xfId="1" applyNumberFormat="1" applyFont="1" applyFill="1" applyBorder="1" applyAlignment="1">
      <alignment horizontal="center" vertical="center"/>
    </xf>
    <xf numFmtId="164" fontId="14" fillId="0" borderId="31" xfId="1" applyNumberFormat="1" applyFont="1" applyBorder="1" applyAlignment="1">
      <alignment horizontal="center" vertical="center"/>
    </xf>
    <xf numFmtId="164" fontId="14" fillId="3" borderId="29" xfId="1" applyNumberFormat="1" applyFont="1" applyFill="1" applyBorder="1" applyAlignment="1">
      <alignment horizontal="center" vertical="center"/>
    </xf>
    <xf numFmtId="2" fontId="19" fillId="2" borderId="41" xfId="1" applyNumberFormat="1" applyFont="1" applyFill="1" applyBorder="1" applyAlignment="1">
      <alignment horizontal="center" vertical="center"/>
    </xf>
    <xf numFmtId="164" fontId="14" fillId="0" borderId="33" xfId="1" applyNumberFormat="1" applyFont="1" applyBorder="1" applyAlignment="1">
      <alignment horizontal="center" vertical="center"/>
    </xf>
    <xf numFmtId="0" fontId="18" fillId="0" borderId="23" xfId="1" applyFont="1" applyFill="1" applyBorder="1" applyAlignment="1">
      <alignment horizontal="center" vertical="center"/>
    </xf>
    <xf numFmtId="166" fontId="15" fillId="0" borderId="35" xfId="1" applyNumberFormat="1" applyFont="1" applyFill="1" applyBorder="1" applyAlignment="1">
      <alignment horizontal="center" vertical="center"/>
    </xf>
    <xf numFmtId="165" fontId="7" fillId="0" borderId="39" xfId="1" applyNumberFormat="1" applyFont="1" applyFill="1" applyBorder="1" applyAlignment="1">
      <alignment horizontal="center" vertical="center"/>
    </xf>
    <xf numFmtId="0" fontId="7" fillId="0" borderId="31" xfId="1" applyFont="1" applyFill="1" applyBorder="1" applyAlignment="1">
      <alignment horizontal="center" vertical="center"/>
    </xf>
    <xf numFmtId="0" fontId="6" fillId="0" borderId="30" xfId="1" applyFont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6" fillId="0" borderId="0" xfId="1" applyFont="1"/>
    <xf numFmtId="0" fontId="3" fillId="0" borderId="42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1" fontId="15" fillId="0" borderId="23" xfId="1" applyNumberFormat="1" applyFont="1" applyBorder="1" applyAlignment="1">
      <alignment horizontal="center" vertical="center"/>
    </xf>
    <xf numFmtId="2" fontId="16" fillId="0" borderId="35" xfId="1" applyNumberFormat="1" applyFont="1" applyFill="1" applyBorder="1" applyAlignment="1">
      <alignment horizontal="center" vertical="center"/>
    </xf>
    <xf numFmtId="164" fontId="16" fillId="0" borderId="35" xfId="1" applyNumberFormat="1" applyFont="1" applyFill="1" applyBorder="1" applyAlignment="1">
      <alignment horizontal="center" vertical="center"/>
    </xf>
    <xf numFmtId="164" fontId="3" fillId="0" borderId="20" xfId="1" applyNumberFormat="1" applyBorder="1" applyAlignment="1">
      <alignment horizontal="center" vertical="center"/>
    </xf>
    <xf numFmtId="0" fontId="3" fillId="0" borderId="21" xfId="1" applyBorder="1" applyAlignment="1">
      <alignment horizontal="center" vertical="center"/>
    </xf>
    <xf numFmtId="0" fontId="3" fillId="0" borderId="19" xfId="1" applyBorder="1" applyAlignment="1">
      <alignment horizontal="center" vertical="center"/>
    </xf>
    <xf numFmtId="164" fontId="18" fillId="0" borderId="22" xfId="1" applyNumberFormat="1" applyFont="1" applyFill="1" applyBorder="1" applyAlignment="1">
      <alignment horizontal="center" vertical="center"/>
    </xf>
    <xf numFmtId="0" fontId="21" fillId="0" borderId="41" xfId="1" applyFont="1" applyFill="1" applyBorder="1" applyAlignment="1">
      <alignment horizontal="center" vertical="center"/>
    </xf>
    <xf numFmtId="164" fontId="14" fillId="0" borderId="4" xfId="1" applyNumberFormat="1" applyFont="1" applyBorder="1" applyAlignment="1">
      <alignment horizontal="center" vertical="center"/>
    </xf>
    <xf numFmtId="0" fontId="14" fillId="0" borderId="35" xfId="1" applyFont="1" applyBorder="1" applyAlignment="1">
      <alignment horizontal="center" vertical="center"/>
    </xf>
    <xf numFmtId="166" fontId="15" fillId="0" borderId="35" xfId="1" applyNumberFormat="1" applyFont="1" applyBorder="1" applyAlignment="1">
      <alignment horizontal="center" vertical="center"/>
    </xf>
    <xf numFmtId="0" fontId="16" fillId="0" borderId="33" xfId="1" applyFont="1" applyFill="1" applyBorder="1" applyAlignment="1">
      <alignment horizontal="center" vertical="center"/>
    </xf>
    <xf numFmtId="2" fontId="16" fillId="0" borderId="36" xfId="1" applyNumberFormat="1" applyFont="1" applyFill="1" applyBorder="1" applyAlignment="1">
      <alignment horizontal="center" vertical="center"/>
    </xf>
    <xf numFmtId="2" fontId="23" fillId="0" borderId="23" xfId="1" applyNumberFormat="1" applyFont="1" applyFill="1" applyBorder="1" applyAlignment="1">
      <alignment horizontal="center" vertical="center"/>
    </xf>
    <xf numFmtId="0" fontId="22" fillId="0" borderId="23" xfId="1" applyFont="1" applyFill="1" applyBorder="1" applyAlignment="1">
      <alignment horizontal="center" vertical="center"/>
    </xf>
    <xf numFmtId="0" fontId="24" fillId="0" borderId="7" xfId="1" applyFont="1" applyFill="1" applyBorder="1" applyAlignment="1">
      <alignment vertical="center"/>
    </xf>
    <xf numFmtId="0" fontId="24" fillId="0" borderId="19" xfId="1" applyFont="1" applyFill="1" applyBorder="1" applyAlignment="1">
      <alignment vertical="center"/>
    </xf>
    <xf numFmtId="0" fontId="24" fillId="0" borderId="48" xfId="1" applyFont="1" applyFill="1" applyBorder="1" applyAlignment="1">
      <alignment vertical="center"/>
    </xf>
    <xf numFmtId="0" fontId="24" fillId="0" borderId="43" xfId="1" applyFont="1" applyFill="1" applyBorder="1" applyAlignment="1">
      <alignment vertical="center"/>
    </xf>
    <xf numFmtId="0" fontId="24" fillId="0" borderId="32" xfId="1" applyFont="1" applyBorder="1" applyAlignment="1">
      <alignment vertical="center"/>
    </xf>
    <xf numFmtId="0" fontId="24" fillId="0" borderId="39" xfId="1" applyFont="1" applyBorder="1" applyAlignment="1">
      <alignment vertical="center"/>
    </xf>
    <xf numFmtId="165" fontId="6" fillId="0" borderId="33" xfId="1" applyNumberFormat="1" applyFont="1" applyBorder="1" applyAlignment="1">
      <alignment horizontal="center" vertical="center"/>
    </xf>
    <xf numFmtId="0" fontId="6" fillId="0" borderId="52" xfId="1" applyFont="1" applyBorder="1" applyAlignment="1">
      <alignment horizontal="center" vertical="center"/>
    </xf>
    <xf numFmtId="0" fontId="6" fillId="0" borderId="37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7" fillId="0" borderId="37" xfId="1" applyFont="1" applyFill="1" applyBorder="1" applyAlignment="1">
      <alignment horizontal="center" vertical="center"/>
    </xf>
    <xf numFmtId="0" fontId="24" fillId="0" borderId="27" xfId="1" applyFont="1" applyFill="1" applyBorder="1" applyAlignment="1">
      <alignment vertical="center"/>
    </xf>
    <xf numFmtId="49" fontId="6" fillId="0" borderId="30" xfId="1" applyNumberFormat="1" applyFont="1" applyFill="1" applyBorder="1" applyAlignment="1">
      <alignment horizontal="center" vertical="center"/>
    </xf>
    <xf numFmtId="0" fontId="6" fillId="0" borderId="34" xfId="1" applyFont="1" applyFill="1" applyBorder="1" applyAlignment="1">
      <alignment horizontal="center" vertical="center"/>
    </xf>
    <xf numFmtId="0" fontId="6" fillId="0" borderId="30" xfId="1" applyFont="1" applyFill="1" applyBorder="1" applyAlignment="1">
      <alignment horizontal="center" vertical="center"/>
    </xf>
    <xf numFmtId="0" fontId="7" fillId="0" borderId="30" xfId="1" applyFont="1" applyFill="1" applyBorder="1" applyAlignment="1">
      <alignment horizontal="center" vertical="center"/>
    </xf>
    <xf numFmtId="2" fontId="7" fillId="0" borderId="6" xfId="1" applyNumberFormat="1" applyFont="1" applyFill="1" applyBorder="1" applyAlignment="1">
      <alignment horizontal="center" vertical="center"/>
    </xf>
    <xf numFmtId="2" fontId="7" fillId="0" borderId="22" xfId="1" applyNumberFormat="1" applyFont="1" applyFill="1" applyBorder="1" applyAlignment="1">
      <alignment horizontal="center" vertical="center"/>
    </xf>
    <xf numFmtId="2" fontId="6" fillId="0" borderId="22" xfId="1" applyNumberFormat="1" applyFont="1" applyFill="1" applyBorder="1" applyAlignment="1">
      <alignment horizontal="center" vertical="center"/>
    </xf>
    <xf numFmtId="2" fontId="6" fillId="0" borderId="13" xfId="1" applyNumberFormat="1" applyFont="1" applyFill="1" applyBorder="1" applyAlignment="1">
      <alignment horizontal="center" vertical="center"/>
    </xf>
    <xf numFmtId="2" fontId="6" fillId="0" borderId="30" xfId="1" applyNumberFormat="1" applyFont="1" applyFill="1" applyBorder="1" applyAlignment="1">
      <alignment horizontal="center" vertical="center"/>
    </xf>
    <xf numFmtId="166" fontId="15" fillId="4" borderId="23" xfId="1" applyNumberFormat="1" applyFont="1" applyFill="1" applyBorder="1" applyAlignment="1">
      <alignment horizontal="center" vertical="center"/>
    </xf>
    <xf numFmtId="0" fontId="2" fillId="0" borderId="42" xfId="1" applyFont="1" applyBorder="1" applyAlignment="1">
      <alignment vertical="center"/>
    </xf>
    <xf numFmtId="2" fontId="16" fillId="0" borderId="23" xfId="1" applyNumberFormat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left" vertical="center"/>
    </xf>
    <xf numFmtId="0" fontId="2" fillId="0" borderId="18" xfId="1" applyFont="1" applyFill="1" applyBorder="1" applyAlignment="1">
      <alignment horizontal="left" vertical="center"/>
    </xf>
    <xf numFmtId="0" fontId="2" fillId="0" borderId="18" xfId="1" applyFont="1" applyBorder="1" applyAlignment="1">
      <alignment vertical="center"/>
    </xf>
    <xf numFmtId="0" fontId="3" fillId="0" borderId="53" xfId="1" applyBorder="1" applyAlignment="1">
      <alignment horizontal="center" vertical="center"/>
    </xf>
    <xf numFmtId="0" fontId="3" fillId="0" borderId="54" xfId="1" applyBorder="1" applyAlignment="1">
      <alignment horizontal="center" vertical="center"/>
    </xf>
    <xf numFmtId="2" fontId="3" fillId="0" borderId="55" xfId="1" applyNumberFormat="1" applyBorder="1" applyAlignment="1">
      <alignment horizontal="center" vertical="center"/>
    </xf>
    <xf numFmtId="0" fontId="3" fillId="0" borderId="40" xfId="1" applyBorder="1" applyAlignment="1">
      <alignment horizontal="center" vertical="center"/>
    </xf>
    <xf numFmtId="0" fontId="3" fillId="0" borderId="34" xfId="1" applyBorder="1" applyAlignment="1">
      <alignment horizontal="center" vertical="center"/>
    </xf>
    <xf numFmtId="0" fontId="3" fillId="0" borderId="4" xfId="1" applyFill="1" applyBorder="1" applyAlignment="1">
      <alignment horizontal="center" vertical="center"/>
    </xf>
    <xf numFmtId="0" fontId="3" fillId="0" borderId="20" xfId="1" applyBorder="1" applyAlignment="1">
      <alignment horizontal="center" vertical="center"/>
    </xf>
    <xf numFmtId="0" fontId="3" fillId="0" borderId="28" xfId="1" applyFill="1" applyBorder="1" applyAlignment="1">
      <alignment horizontal="center" vertical="center"/>
    </xf>
    <xf numFmtId="0" fontId="3" fillId="0" borderId="49" xfId="1" applyBorder="1" applyAlignment="1">
      <alignment horizontal="center" vertical="center"/>
    </xf>
    <xf numFmtId="0" fontId="3" fillId="0" borderId="56" xfId="1" applyBorder="1" applyAlignment="1">
      <alignment horizontal="left" vertical="center"/>
    </xf>
    <xf numFmtId="0" fontId="3" fillId="0" borderId="57" xfId="1" applyBorder="1" applyAlignment="1">
      <alignment horizontal="center" vertical="center"/>
    </xf>
    <xf numFmtId="0" fontId="2" fillId="0" borderId="26" xfId="1" applyFont="1" applyFill="1" applyBorder="1" applyAlignment="1">
      <alignment horizontal="left" vertical="center"/>
    </xf>
    <xf numFmtId="0" fontId="3" fillId="0" borderId="27" xfId="1" applyFill="1" applyBorder="1" applyAlignment="1">
      <alignment horizontal="center" vertical="center"/>
    </xf>
    <xf numFmtId="164" fontId="3" fillId="0" borderId="28" xfId="1" applyNumberFormat="1" applyFill="1" applyBorder="1" applyAlignment="1">
      <alignment horizontal="center" vertical="center"/>
    </xf>
    <xf numFmtId="0" fontId="3" fillId="0" borderId="29" xfId="1" applyFill="1" applyBorder="1" applyAlignment="1">
      <alignment horizontal="center" vertical="center"/>
    </xf>
    <xf numFmtId="2" fontId="2" fillId="0" borderId="16" xfId="1" applyNumberFormat="1" applyFont="1" applyFill="1" applyBorder="1" applyAlignment="1">
      <alignment horizontal="center" vertical="center"/>
    </xf>
    <xf numFmtId="2" fontId="2" fillId="0" borderId="23" xfId="1" applyNumberFormat="1" applyFont="1" applyFill="1" applyBorder="1" applyAlignment="1">
      <alignment horizontal="center" vertical="center"/>
    </xf>
    <xf numFmtId="0" fontId="2" fillId="0" borderId="23" xfId="1" applyFont="1" applyFill="1" applyBorder="1" applyAlignment="1">
      <alignment horizontal="center" vertical="center"/>
    </xf>
    <xf numFmtId="0" fontId="2" fillId="0" borderId="31" xfId="1" applyFont="1" applyBorder="1" applyAlignment="1">
      <alignment horizontal="center" vertical="center"/>
    </xf>
    <xf numFmtId="2" fontId="2" fillId="0" borderId="2" xfId="1" applyNumberFormat="1" applyFont="1" applyFill="1" applyBorder="1" applyAlignment="1">
      <alignment horizontal="center" vertical="center"/>
    </xf>
    <xf numFmtId="2" fontId="2" fillId="0" borderId="24" xfId="1" applyNumberFormat="1" applyFont="1" applyFill="1" applyBorder="1" applyAlignment="1">
      <alignment horizontal="center" vertical="center"/>
    </xf>
    <xf numFmtId="2" fontId="2" fillId="0" borderId="32" xfId="1" applyNumberFormat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2" fontId="19" fillId="0" borderId="26" xfId="1" applyNumberFormat="1" applyFont="1" applyFill="1" applyBorder="1" applyAlignment="1">
      <alignment horizontal="center" vertical="center"/>
    </xf>
    <xf numFmtId="2" fontId="21" fillId="2" borderId="15" xfId="1" applyNumberFormat="1" applyFont="1" applyFill="1" applyBorder="1" applyAlignment="1">
      <alignment horizontal="center" vertical="center"/>
    </xf>
    <xf numFmtId="2" fontId="21" fillId="0" borderId="41" xfId="1" applyNumberFormat="1" applyFont="1" applyFill="1" applyBorder="1" applyAlignment="1">
      <alignment horizontal="center" vertical="center"/>
    </xf>
    <xf numFmtId="0" fontId="19" fillId="2" borderId="50" xfId="1" applyFont="1" applyFill="1" applyBorder="1" applyAlignment="1">
      <alignment horizontal="center" vertical="center"/>
    </xf>
    <xf numFmtId="2" fontId="16" fillId="0" borderId="33" xfId="1" applyNumberFormat="1" applyFont="1" applyFill="1" applyBorder="1" applyAlignment="1">
      <alignment horizontal="center" vertical="center"/>
    </xf>
    <xf numFmtId="1" fontId="15" fillId="0" borderId="35" xfId="1" applyNumberFormat="1" applyFont="1" applyBorder="1" applyAlignment="1">
      <alignment horizontal="center" vertical="center"/>
    </xf>
    <xf numFmtId="0" fontId="18" fillId="0" borderId="33" xfId="1" applyFont="1" applyFill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3" fillId="0" borderId="1" xfId="1" applyBorder="1" applyAlignment="1">
      <alignment horizontal="center" vertical="center" wrapText="1"/>
    </xf>
    <xf numFmtId="0" fontId="3" fillId="0" borderId="8" xfId="1" applyBorder="1" applyAlignment="1">
      <alignment horizontal="center" vertical="center" wrapText="1"/>
    </xf>
    <xf numFmtId="0" fontId="3" fillId="0" borderId="2" xfId="1" applyBorder="1" applyAlignment="1">
      <alignment horizontal="center" vertical="center"/>
    </xf>
    <xf numFmtId="0" fontId="3" fillId="0" borderId="9" xfId="1" applyBorder="1" applyAlignment="1">
      <alignment horizontal="center" vertical="center"/>
    </xf>
    <xf numFmtId="0" fontId="3" fillId="0" borderId="3" xfId="1" applyBorder="1" applyAlignment="1">
      <alignment horizontal="center" vertical="center" wrapText="1"/>
    </xf>
    <xf numFmtId="0" fontId="3" fillId="0" borderId="10" xfId="1" applyBorder="1" applyAlignment="1">
      <alignment horizontal="center" vertical="center" wrapText="1"/>
    </xf>
    <xf numFmtId="0" fontId="3" fillId="0" borderId="4" xfId="1" applyBorder="1" applyAlignment="1">
      <alignment horizontal="center" vertical="center"/>
    </xf>
    <xf numFmtId="0" fontId="3" fillId="0" borderId="5" xfId="1" applyBorder="1" applyAlignment="1">
      <alignment horizontal="center" vertical="center"/>
    </xf>
    <xf numFmtId="0" fontId="3" fillId="0" borderId="6" xfId="1" applyBorder="1" applyAlignment="1">
      <alignment horizontal="center" vertical="center"/>
    </xf>
    <xf numFmtId="0" fontId="3" fillId="0" borderId="7" xfId="1" applyBorder="1" applyAlignment="1">
      <alignment horizontal="center" vertical="center"/>
    </xf>
    <xf numFmtId="0" fontId="12" fillId="0" borderId="0" xfId="1" applyFont="1" applyAlignment="1">
      <alignment horizontal="center" vertical="center" wrapText="1"/>
    </xf>
    <xf numFmtId="0" fontId="11" fillId="0" borderId="0" xfId="1" applyFont="1" applyBorder="1" applyAlignment="1">
      <alignment horizontal="center"/>
    </xf>
    <xf numFmtId="0" fontId="10" fillId="0" borderId="1" xfId="1" applyFont="1" applyFill="1" applyBorder="1" applyAlignment="1">
      <alignment horizontal="center" vertical="center" wrapText="1"/>
    </xf>
    <xf numFmtId="0" fontId="10" fillId="0" borderId="40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/>
    </xf>
    <xf numFmtId="0" fontId="10" fillId="0" borderId="29" xfId="1" applyFont="1" applyFill="1" applyBorder="1" applyAlignment="1">
      <alignment horizontal="center" vertical="center"/>
    </xf>
    <xf numFmtId="0" fontId="4" fillId="0" borderId="15" xfId="1" applyFont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30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8" fillId="0" borderId="14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8" fillId="0" borderId="18" xfId="1" applyFont="1" applyFill="1" applyBorder="1" applyAlignment="1">
      <alignment horizontal="center" vertical="center"/>
    </xf>
    <xf numFmtId="164" fontId="6" fillId="0" borderId="16" xfId="1" applyNumberFormat="1" applyFont="1" applyBorder="1" applyAlignment="1">
      <alignment horizontal="center" vertical="center"/>
    </xf>
    <xf numFmtId="164" fontId="6" fillId="0" borderId="23" xfId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0" fontId="8" fillId="0" borderId="44" xfId="1" applyFont="1" applyFill="1" applyBorder="1" applyAlignment="1">
      <alignment horizontal="center" vertical="center"/>
    </xf>
    <xf numFmtId="0" fontId="8" fillId="0" borderId="46" xfId="1" applyFont="1" applyFill="1" applyBorder="1" applyAlignment="1">
      <alignment horizontal="center" vertical="center"/>
    </xf>
    <xf numFmtId="0" fontId="8" fillId="0" borderId="38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51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164" fontId="6" fillId="0" borderId="33" xfId="1" applyNumberFormat="1" applyFont="1" applyBorder="1" applyAlignment="1">
      <alignment horizontal="center" vertical="center"/>
    </xf>
    <xf numFmtId="164" fontId="6" fillId="0" borderId="31" xfId="1" applyNumberFormat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34" xfId="1" applyFont="1" applyBorder="1" applyAlignment="1">
      <alignment horizontal="center" vertical="center"/>
    </xf>
    <xf numFmtId="0" fontId="8" fillId="0" borderId="45" xfId="1" applyFont="1" applyFill="1" applyBorder="1" applyAlignment="1">
      <alignment horizontal="center" vertical="center"/>
    </xf>
    <xf numFmtId="0" fontId="8" fillId="0" borderId="47" xfId="1" applyFont="1" applyFill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8" fillId="0" borderId="25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center" vertical="center"/>
    </xf>
    <xf numFmtId="0" fontId="6" fillId="0" borderId="29" xfId="1" applyFont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13" fillId="0" borderId="23" xfId="1" applyFont="1" applyBorder="1" applyAlignment="1">
      <alignment horizontal="center" vertical="center" wrapText="1"/>
    </xf>
    <xf numFmtId="0" fontId="13" fillId="0" borderId="23" xfId="1" applyFont="1" applyBorder="1" applyAlignment="1">
      <alignment horizontal="center" vertical="center"/>
    </xf>
    <xf numFmtId="0" fontId="13" fillId="0" borderId="35" xfId="1" applyFont="1" applyBorder="1" applyAlignment="1">
      <alignment horizontal="center" vertical="center"/>
    </xf>
    <xf numFmtId="0" fontId="13" fillId="0" borderId="33" xfId="1" applyFont="1" applyBorder="1" applyAlignment="1">
      <alignment horizontal="center" vertical="center"/>
    </xf>
    <xf numFmtId="2" fontId="13" fillId="0" borderId="35" xfId="1" applyNumberFormat="1" applyFont="1" applyBorder="1" applyAlignment="1">
      <alignment horizontal="center" vertical="center" wrapText="1"/>
    </xf>
    <xf numFmtId="2" fontId="13" fillId="0" borderId="33" xfId="1" applyNumberFormat="1" applyFont="1" applyBorder="1" applyAlignment="1">
      <alignment horizontal="center" vertical="center" wrapText="1"/>
    </xf>
    <xf numFmtId="0" fontId="13" fillId="0" borderId="24" xfId="1" applyFont="1" applyBorder="1" applyAlignment="1">
      <alignment horizontal="center" vertical="center"/>
    </xf>
    <xf numFmtId="0" fontId="13" fillId="0" borderId="19" xfId="1" applyFont="1" applyBorder="1" applyAlignment="1">
      <alignment horizontal="center" vertical="center"/>
    </xf>
    <xf numFmtId="0" fontId="13" fillId="0" borderId="22" xfId="1" applyFont="1" applyBorder="1" applyAlignment="1">
      <alignment horizontal="center" vertical="center"/>
    </xf>
    <xf numFmtId="0" fontId="13" fillId="0" borderId="35" xfId="1" applyFont="1" applyBorder="1" applyAlignment="1">
      <alignment horizontal="center" vertical="center" wrapText="1"/>
    </xf>
    <xf numFmtId="0" fontId="13" fillId="0" borderId="33" xfId="1" applyFont="1" applyBorder="1" applyAlignment="1">
      <alignment horizontal="center" vertical="center" wrapText="1"/>
    </xf>
    <xf numFmtId="0" fontId="14" fillId="0" borderId="35" xfId="1" applyFont="1" applyBorder="1" applyAlignment="1">
      <alignment horizontal="center" vertical="center"/>
    </xf>
    <xf numFmtId="0" fontId="14" fillId="0" borderId="33" xfId="1" applyFont="1" applyBorder="1" applyAlignment="1">
      <alignment horizontal="center" vertical="center"/>
    </xf>
    <xf numFmtId="0" fontId="15" fillId="0" borderId="35" xfId="1" applyFont="1" applyBorder="1" applyAlignment="1">
      <alignment horizontal="center" vertical="center"/>
    </xf>
    <xf numFmtId="0" fontId="15" fillId="0" borderId="33" xfId="1" applyFont="1" applyBorder="1" applyAlignment="1">
      <alignment horizontal="center" vertical="center"/>
    </xf>
    <xf numFmtId="166" fontId="15" fillId="0" borderId="35" xfId="1" applyNumberFormat="1" applyFont="1" applyBorder="1" applyAlignment="1">
      <alignment horizontal="center" vertical="center"/>
    </xf>
    <xf numFmtId="166" fontId="15" fillId="0" borderId="33" xfId="1" applyNumberFormat="1" applyFont="1" applyBorder="1" applyAlignment="1">
      <alignment horizontal="center" vertical="center"/>
    </xf>
    <xf numFmtId="166" fontId="15" fillId="0" borderId="35" xfId="1" applyNumberFormat="1" applyFont="1" applyFill="1" applyBorder="1" applyAlignment="1">
      <alignment horizontal="center" vertical="center"/>
    </xf>
    <xf numFmtId="166" fontId="15" fillId="0" borderId="33" xfId="1" applyNumberFormat="1" applyFont="1" applyFill="1" applyBorder="1" applyAlignment="1">
      <alignment horizontal="center" vertical="center"/>
    </xf>
    <xf numFmtId="0" fontId="14" fillId="0" borderId="35" xfId="1" applyFont="1" applyBorder="1" applyAlignment="1">
      <alignment horizontal="center" vertical="center" wrapText="1"/>
    </xf>
    <xf numFmtId="0" fontId="14" fillId="0" borderId="33" xfId="1" applyFont="1" applyBorder="1" applyAlignment="1">
      <alignment horizontal="center" vertical="center" wrapText="1"/>
    </xf>
    <xf numFmtId="167" fontId="14" fillId="0" borderId="35" xfId="1" applyNumberFormat="1" applyFont="1" applyBorder="1" applyAlignment="1">
      <alignment horizontal="center" vertical="center" wrapText="1"/>
    </xf>
    <xf numFmtId="167" fontId="14" fillId="0" borderId="33" xfId="1" applyNumberFormat="1" applyFont="1" applyBorder="1" applyAlignment="1">
      <alignment horizontal="center" vertical="center" wrapText="1"/>
    </xf>
    <xf numFmtId="2" fontId="1" fillId="0" borderId="24" xfId="1" applyNumberFormat="1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14" fillId="0" borderId="24" xfId="1" applyFont="1" applyBorder="1" applyAlignment="1">
      <alignment horizontal="center" vertical="center" wrapText="1"/>
    </xf>
    <xf numFmtId="0" fontId="1" fillId="0" borderId="58" xfId="1" applyFont="1" applyBorder="1" applyAlignment="1">
      <alignment horizontal="center" vertical="center" wrapText="1"/>
    </xf>
    <xf numFmtId="0" fontId="1" fillId="0" borderId="59" xfId="1" applyFont="1" applyBorder="1" applyAlignment="1">
      <alignment horizontal="center" vertical="center" wrapText="1"/>
    </xf>
    <xf numFmtId="0" fontId="1" fillId="0" borderId="60" xfId="1" applyFont="1" applyBorder="1" applyAlignment="1">
      <alignment horizontal="center" vertical="center" wrapText="1"/>
    </xf>
    <xf numFmtId="0" fontId="1" fillId="0" borderId="49" xfId="1" applyFont="1" applyBorder="1" applyAlignment="1">
      <alignment horizontal="center" vertical="center" wrapText="1"/>
    </xf>
    <xf numFmtId="0" fontId="1" fillId="0" borderId="57" xfId="1" applyFont="1" applyBorder="1" applyAlignment="1">
      <alignment horizontal="center" vertical="center" wrapText="1"/>
    </xf>
    <xf numFmtId="0" fontId="1" fillId="0" borderId="61" xfId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workbookViewId="0">
      <selection activeCell="J8" sqref="J8"/>
    </sheetView>
  </sheetViews>
  <sheetFormatPr defaultRowHeight="15" x14ac:dyDescent="0.25"/>
  <cols>
    <col min="1" max="1" width="9.140625" style="2"/>
    <col min="2" max="2" width="17.4257812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188" t="s">
        <v>90</v>
      </c>
      <c r="B1" s="188"/>
      <c r="C1" s="188"/>
      <c r="D1" s="188"/>
      <c r="E1" s="188"/>
      <c r="F1" s="188"/>
      <c r="G1" s="188"/>
      <c r="H1" s="188"/>
      <c r="I1" s="188"/>
      <c r="J1" s="188"/>
    </row>
    <row r="2" spans="1:12" ht="17.25" x14ac:dyDescent="0.3">
      <c r="A2" s="189" t="s">
        <v>91</v>
      </c>
      <c r="B2" s="189"/>
      <c r="C2" s="189"/>
      <c r="D2" s="189"/>
      <c r="E2" s="189"/>
      <c r="F2" s="189"/>
      <c r="G2" s="189"/>
      <c r="H2" s="189"/>
      <c r="I2" s="189"/>
      <c r="J2" s="189"/>
    </row>
    <row r="3" spans="1:12" ht="6" customHeight="1" thickBot="1" x14ac:dyDescent="0.3"/>
    <row r="4" spans="1:12" s="3" customFormat="1" ht="15" customHeight="1" x14ac:dyDescent="0.25">
      <c r="A4" s="190" t="s">
        <v>0</v>
      </c>
      <c r="B4" s="192" t="s">
        <v>1</v>
      </c>
      <c r="C4" s="194" t="s">
        <v>2</v>
      </c>
      <c r="D4" s="196" t="s">
        <v>3</v>
      </c>
      <c r="E4" s="197"/>
      <c r="F4" s="198" t="s">
        <v>4</v>
      </c>
      <c r="G4" s="199"/>
      <c r="H4" s="192"/>
      <c r="I4" s="196" t="s">
        <v>5</v>
      </c>
      <c r="J4" s="197"/>
    </row>
    <row r="5" spans="1:12" s="8" customFormat="1" ht="15.75" thickBot="1" x14ac:dyDescent="0.3">
      <c r="A5" s="191"/>
      <c r="B5" s="193"/>
      <c r="C5" s="195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9">
        <v>1</v>
      </c>
      <c r="B6" s="155" t="s">
        <v>12</v>
      </c>
      <c r="C6" s="10">
        <v>6</v>
      </c>
      <c r="D6" s="11">
        <v>39.825000000000003</v>
      </c>
      <c r="E6" s="12">
        <v>2</v>
      </c>
      <c r="F6" s="163">
        <v>173</v>
      </c>
      <c r="G6" s="173" t="s">
        <v>147</v>
      </c>
      <c r="H6" s="177" t="s">
        <v>13</v>
      </c>
      <c r="I6" s="13">
        <v>39.549999999999997</v>
      </c>
      <c r="J6" s="12">
        <v>33</v>
      </c>
    </row>
    <row r="7" spans="1:12" s="3" customFormat="1" ht="24.95" customHeight="1" x14ac:dyDescent="0.25">
      <c r="A7" s="14">
        <v>2</v>
      </c>
      <c r="B7" s="156" t="s">
        <v>98</v>
      </c>
      <c r="C7" s="15">
        <v>4</v>
      </c>
      <c r="D7" s="16">
        <v>39.869999999999997</v>
      </c>
      <c r="E7" s="17">
        <v>3</v>
      </c>
      <c r="F7" s="21">
        <v>173</v>
      </c>
      <c r="G7" s="18">
        <v>13.07</v>
      </c>
      <c r="H7" s="19">
        <v>13.07</v>
      </c>
      <c r="I7" s="20">
        <v>39.82</v>
      </c>
      <c r="J7" s="17">
        <v>104</v>
      </c>
    </row>
    <row r="8" spans="1:12" s="3" customFormat="1" ht="24.95" customHeight="1" x14ac:dyDescent="0.25">
      <c r="A8" s="14">
        <v>3</v>
      </c>
      <c r="B8" s="156" t="s">
        <v>14</v>
      </c>
      <c r="C8" s="15">
        <v>8</v>
      </c>
      <c r="D8" s="16">
        <v>39.78</v>
      </c>
      <c r="E8" s="17">
        <v>1</v>
      </c>
      <c r="F8" s="21">
        <v>172</v>
      </c>
      <c r="G8" s="174" t="s">
        <v>15</v>
      </c>
      <c r="H8" s="263" t="s">
        <v>15</v>
      </c>
      <c r="I8" s="21">
        <v>39.71</v>
      </c>
      <c r="J8" s="17">
        <v>31</v>
      </c>
    </row>
    <row r="9" spans="1:12" s="3" customFormat="1" ht="24.95" customHeight="1" x14ac:dyDescent="0.25">
      <c r="A9" s="14">
        <v>4</v>
      </c>
      <c r="B9" s="156" t="s">
        <v>95</v>
      </c>
      <c r="C9" s="15">
        <v>3</v>
      </c>
      <c r="D9" s="16">
        <v>40.01</v>
      </c>
      <c r="E9" s="17">
        <v>4</v>
      </c>
      <c r="F9" s="21">
        <v>172</v>
      </c>
      <c r="G9" s="175" t="s">
        <v>15</v>
      </c>
      <c r="H9" s="19">
        <v>1</v>
      </c>
      <c r="I9" s="20">
        <v>39.72</v>
      </c>
      <c r="J9" s="17">
        <v>19</v>
      </c>
      <c r="L9" s="22"/>
    </row>
    <row r="10" spans="1:12" s="3" customFormat="1" ht="24.95" customHeight="1" x14ac:dyDescent="0.25">
      <c r="A10" s="14">
        <v>5</v>
      </c>
      <c r="B10" s="156" t="s">
        <v>145</v>
      </c>
      <c r="C10" s="15">
        <v>2</v>
      </c>
      <c r="D10" s="16">
        <v>40.185000000000002</v>
      </c>
      <c r="E10" s="17">
        <v>7</v>
      </c>
      <c r="F10" s="21">
        <v>172</v>
      </c>
      <c r="G10" s="174" t="s">
        <v>15</v>
      </c>
      <c r="H10" s="19">
        <v>7</v>
      </c>
      <c r="I10" s="20">
        <v>39.89</v>
      </c>
      <c r="J10" s="17">
        <v>13</v>
      </c>
    </row>
    <row r="11" spans="1:12" s="3" customFormat="1" ht="24.95" customHeight="1" x14ac:dyDescent="0.25">
      <c r="A11" s="14">
        <v>6</v>
      </c>
      <c r="B11" s="156" t="s">
        <v>111</v>
      </c>
      <c r="C11" s="15">
        <v>7</v>
      </c>
      <c r="D11" s="16">
        <v>40.015000000000001</v>
      </c>
      <c r="E11" s="17">
        <v>5</v>
      </c>
      <c r="F11" s="25">
        <v>172</v>
      </c>
      <c r="G11" s="174" t="s">
        <v>15</v>
      </c>
      <c r="H11" s="19">
        <v>2</v>
      </c>
      <c r="I11" s="20">
        <v>39.79</v>
      </c>
      <c r="J11" s="17">
        <v>11</v>
      </c>
    </row>
    <row r="12" spans="1:12" s="3" customFormat="1" ht="24.95" customHeight="1" x14ac:dyDescent="0.25">
      <c r="A12" s="14">
        <v>7</v>
      </c>
      <c r="B12" s="157" t="s">
        <v>146</v>
      </c>
      <c r="C12" s="121">
        <v>1</v>
      </c>
      <c r="D12" s="119">
        <v>40.18</v>
      </c>
      <c r="E12" s="120">
        <v>6</v>
      </c>
      <c r="F12" s="164">
        <v>171</v>
      </c>
      <c r="G12" s="175" t="s">
        <v>84</v>
      </c>
      <c r="H12" s="24">
        <v>19</v>
      </c>
      <c r="I12" s="25">
        <v>40.07</v>
      </c>
      <c r="J12" s="17">
        <v>9</v>
      </c>
    </row>
    <row r="13" spans="1:12" s="3" customFormat="1" ht="24.95" customHeight="1" x14ac:dyDescent="0.25">
      <c r="A13" s="14">
        <v>8</v>
      </c>
      <c r="B13" s="156" t="s">
        <v>105</v>
      </c>
      <c r="C13" s="15">
        <v>10</v>
      </c>
      <c r="D13" s="23">
        <v>40.369999999999997</v>
      </c>
      <c r="E13" s="17">
        <v>8</v>
      </c>
      <c r="F13" s="25">
        <v>171</v>
      </c>
      <c r="G13" s="175" t="s">
        <v>84</v>
      </c>
      <c r="H13" s="19">
        <v>12</v>
      </c>
      <c r="I13" s="20">
        <v>39.99</v>
      </c>
      <c r="J13" s="17">
        <v>9</v>
      </c>
    </row>
    <row r="14" spans="1:12" s="3" customFormat="1" ht="24.95" customHeight="1" x14ac:dyDescent="0.25">
      <c r="A14" s="14">
        <v>9</v>
      </c>
      <c r="B14" s="156" t="s">
        <v>110</v>
      </c>
      <c r="C14" s="15">
        <v>5</v>
      </c>
      <c r="D14" s="16">
        <v>40.96</v>
      </c>
      <c r="E14" s="17">
        <v>9</v>
      </c>
      <c r="F14" s="21">
        <v>169</v>
      </c>
      <c r="G14" s="175" t="s">
        <v>148</v>
      </c>
      <c r="H14" s="178" t="s">
        <v>84</v>
      </c>
      <c r="I14" s="20">
        <v>40.42</v>
      </c>
      <c r="J14" s="17">
        <v>40</v>
      </c>
    </row>
    <row r="15" spans="1:12" ht="24" customHeight="1" thickBot="1" x14ac:dyDescent="0.3">
      <c r="A15" s="26">
        <v>10</v>
      </c>
      <c r="B15" s="169" t="s">
        <v>108</v>
      </c>
      <c r="C15" s="170">
        <v>9</v>
      </c>
      <c r="D15" s="171">
        <v>41.11</v>
      </c>
      <c r="E15" s="172">
        <v>10</v>
      </c>
      <c r="F15" s="165">
        <v>167</v>
      </c>
      <c r="G15" s="176" t="s">
        <v>85</v>
      </c>
      <c r="H15" s="179" t="s">
        <v>15</v>
      </c>
      <c r="I15" s="27">
        <v>40.76</v>
      </c>
      <c r="J15" s="28">
        <v>24</v>
      </c>
    </row>
    <row r="16" spans="1:12" ht="23.25" hidden="1" customHeight="1" thickBot="1" x14ac:dyDescent="0.3">
      <c r="A16" s="166">
        <v>11</v>
      </c>
      <c r="B16" s="167"/>
      <c r="C16" s="168"/>
      <c r="D16" s="161"/>
      <c r="E16" s="162"/>
      <c r="F16" s="158"/>
      <c r="G16" s="159"/>
      <c r="H16" s="160"/>
      <c r="I16" s="161"/>
      <c r="J16" s="162"/>
    </row>
    <row r="17" spans="1:1" ht="5.25" customHeight="1" x14ac:dyDescent="0.25">
      <c r="A17" s="29"/>
    </row>
    <row r="18" spans="1:1" s="2" customFormat="1" x14ac:dyDescent="0.25">
      <c r="A18" s="29"/>
    </row>
    <row r="19" spans="1:1" s="2" customFormat="1" x14ac:dyDescent="0.25">
      <c r="A19" s="29"/>
    </row>
    <row r="20" spans="1:1" s="2" customFormat="1" x14ac:dyDescent="0.25">
      <c r="A20" s="29"/>
    </row>
    <row r="21" spans="1:1" s="2" customFormat="1" ht="6.75" customHeight="1" x14ac:dyDescent="0.25">
      <c r="A21" s="29"/>
    </row>
    <row r="22" spans="1:1" s="2" customFormat="1" x14ac:dyDescent="0.25">
      <c r="A22" s="29"/>
    </row>
    <row r="23" spans="1:1" s="2" customFormat="1" x14ac:dyDescent="0.25">
      <c r="A23" s="30"/>
    </row>
    <row r="24" spans="1:1" s="2" customFormat="1" x14ac:dyDescent="0.25">
      <c r="A24" s="30"/>
    </row>
    <row r="25" spans="1:1" s="2" customFormat="1" ht="6.75" customHeight="1" x14ac:dyDescent="0.25">
      <c r="A25" s="30"/>
    </row>
    <row r="26" spans="1:1" s="2" customFormat="1" x14ac:dyDescent="0.25">
      <c r="A26" s="30"/>
    </row>
    <row r="27" spans="1:1" s="2" customFormat="1" x14ac:dyDescent="0.25">
      <c r="A27" s="30"/>
    </row>
    <row r="28" spans="1:1" s="2" customFormat="1" x14ac:dyDescent="0.25">
      <c r="A28" s="30"/>
    </row>
    <row r="29" spans="1:1" s="2" customFormat="1" x14ac:dyDescent="0.25">
      <c r="A29" s="30"/>
    </row>
    <row r="30" spans="1:1" s="2" customFormat="1" ht="7.5" customHeight="1" x14ac:dyDescent="0.25">
      <c r="A30" s="29"/>
    </row>
    <row r="31" spans="1:1" s="2" customFormat="1" x14ac:dyDescent="0.25">
      <c r="A31" s="29"/>
    </row>
    <row r="32" spans="1:1" s="2" customFormat="1" x14ac:dyDescent="0.25">
      <c r="A32" s="29"/>
    </row>
    <row r="33" spans="1:1" s="2" customFormat="1" x14ac:dyDescent="0.25">
      <c r="A33" s="29"/>
    </row>
    <row r="34" spans="1:1" s="2" customFormat="1" ht="6.75" customHeight="1" x14ac:dyDescent="0.25"/>
    <row r="35" spans="1:1" s="2" customFormat="1" x14ac:dyDescent="0.25">
      <c r="A35" s="29"/>
    </row>
    <row r="36" spans="1:1" s="2" customFormat="1" x14ac:dyDescent="0.25">
      <c r="A36" s="29"/>
    </row>
  </sheetData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P28"/>
  <sheetViews>
    <sheetView topLeftCell="A6" zoomScale="50" zoomScaleNormal="50" workbookViewId="0">
      <selection activeCell="L19" sqref="L19:L20"/>
    </sheetView>
  </sheetViews>
  <sheetFormatPr defaultRowHeight="15" x14ac:dyDescent="0.25"/>
  <cols>
    <col min="1" max="1" width="9.140625" style="1"/>
    <col min="2" max="2" width="35.42578125" style="1" customWidth="1"/>
    <col min="3" max="3" width="30.285156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6384" width="9.140625" style="1"/>
  </cols>
  <sheetData>
    <row r="1" spans="1:16" ht="48" customHeight="1" x14ac:dyDescent="0.25">
      <c r="A1" s="200" t="s">
        <v>92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</row>
    <row r="2" spans="1:16" ht="5.25" customHeight="1" x14ac:dyDescent="0.25"/>
    <row r="3" spans="1:16" ht="19.5" customHeight="1" x14ac:dyDescent="0.35">
      <c r="A3" s="201" t="s">
        <v>48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</row>
    <row r="4" spans="1:16" ht="15.75" customHeight="1" thickBot="1" x14ac:dyDescent="0.35">
      <c r="A4" s="52"/>
      <c r="B4" s="52"/>
      <c r="C4" s="52"/>
      <c r="D4" s="52"/>
      <c r="E4" s="52"/>
      <c r="F4" s="52"/>
      <c r="G4" s="52"/>
      <c r="H4" s="52"/>
      <c r="I4" s="52"/>
      <c r="J4" s="52"/>
    </row>
    <row r="5" spans="1:16" s="2" customFormat="1" ht="30" customHeight="1" x14ac:dyDescent="0.25">
      <c r="A5" s="202" t="s">
        <v>2</v>
      </c>
      <c r="B5" s="204" t="s">
        <v>1</v>
      </c>
      <c r="C5" s="206" t="s">
        <v>47</v>
      </c>
      <c r="D5" s="208" t="s">
        <v>46</v>
      </c>
      <c r="E5" s="210" t="s">
        <v>45</v>
      </c>
      <c r="F5" s="210" t="s">
        <v>44</v>
      </c>
      <c r="G5" s="212" t="s">
        <v>43</v>
      </c>
      <c r="H5" s="208"/>
      <c r="I5" s="208"/>
      <c r="J5" s="213"/>
      <c r="K5" s="213"/>
      <c r="L5" s="214"/>
    </row>
    <row r="6" spans="1:16" s="2" customFormat="1" ht="30" customHeight="1" thickBot="1" x14ac:dyDescent="0.3">
      <c r="A6" s="203"/>
      <c r="B6" s="205"/>
      <c r="C6" s="207"/>
      <c r="D6" s="209"/>
      <c r="E6" s="211"/>
      <c r="F6" s="211"/>
      <c r="G6" s="51" t="s">
        <v>42</v>
      </c>
      <c r="H6" s="50" t="s">
        <v>6</v>
      </c>
      <c r="I6" s="50" t="s">
        <v>41</v>
      </c>
      <c r="J6" s="49" t="s">
        <v>40</v>
      </c>
      <c r="K6" s="48" t="s">
        <v>39</v>
      </c>
      <c r="L6" s="47" t="s">
        <v>7</v>
      </c>
    </row>
    <row r="7" spans="1:16" s="3" customFormat="1" ht="30" customHeight="1" x14ac:dyDescent="0.25">
      <c r="A7" s="215">
        <v>1</v>
      </c>
      <c r="B7" s="217" t="s">
        <v>116</v>
      </c>
      <c r="C7" s="131" t="s">
        <v>117</v>
      </c>
      <c r="D7" s="53" t="s">
        <v>38</v>
      </c>
      <c r="E7" s="46">
        <v>79.3</v>
      </c>
      <c r="F7" s="112"/>
      <c r="G7" s="54">
        <v>3</v>
      </c>
      <c r="H7" s="147">
        <v>40.340000000000003</v>
      </c>
      <c r="I7" s="54">
        <f>F7/80</f>
        <v>0</v>
      </c>
      <c r="J7" s="55">
        <f t="shared" ref="J7:J26" si="0">H7-I7</f>
        <v>40.340000000000003</v>
      </c>
      <c r="K7" s="219">
        <f>AVERAGE(J7:J8)</f>
        <v>40.180000000000007</v>
      </c>
      <c r="L7" s="221">
        <v>6</v>
      </c>
    </row>
    <row r="8" spans="1:16" s="3" customFormat="1" ht="30" customHeight="1" x14ac:dyDescent="0.25">
      <c r="A8" s="216"/>
      <c r="B8" s="218"/>
      <c r="C8" s="132" t="s">
        <v>70</v>
      </c>
      <c r="D8" s="56" t="s">
        <v>37</v>
      </c>
      <c r="E8" s="43">
        <v>89.9</v>
      </c>
      <c r="F8" s="42">
        <v>12</v>
      </c>
      <c r="G8" s="41">
        <v>4</v>
      </c>
      <c r="H8" s="148">
        <v>40.17</v>
      </c>
      <c r="I8" s="41">
        <f>F8/80</f>
        <v>0.15</v>
      </c>
      <c r="J8" s="31">
        <f t="shared" si="0"/>
        <v>40.020000000000003</v>
      </c>
      <c r="K8" s="220"/>
      <c r="L8" s="222"/>
    </row>
    <row r="9" spans="1:16" s="3" customFormat="1" ht="30" customHeight="1" x14ac:dyDescent="0.25">
      <c r="A9" s="223">
        <v>2</v>
      </c>
      <c r="B9" s="224" t="s">
        <v>119</v>
      </c>
      <c r="C9" s="133" t="s">
        <v>118</v>
      </c>
      <c r="D9" s="57" t="s">
        <v>36</v>
      </c>
      <c r="E9" s="45">
        <v>69.2</v>
      </c>
      <c r="F9" s="42"/>
      <c r="G9" s="41">
        <v>5</v>
      </c>
      <c r="H9" s="148">
        <v>40.119999999999997</v>
      </c>
      <c r="I9" s="41">
        <f t="shared" ref="I9:I28" si="1">F9/80</f>
        <v>0</v>
      </c>
      <c r="J9" s="31">
        <f t="shared" si="0"/>
        <v>40.119999999999997</v>
      </c>
      <c r="K9" s="220">
        <f>AVERAGE(J9:J10)</f>
        <v>40.185000000000002</v>
      </c>
      <c r="L9" s="222">
        <v>7</v>
      </c>
    </row>
    <row r="10" spans="1:16" s="3" customFormat="1" ht="30" customHeight="1" x14ac:dyDescent="0.25">
      <c r="A10" s="216"/>
      <c r="B10" s="218"/>
      <c r="C10" s="132" t="s">
        <v>120</v>
      </c>
      <c r="D10" s="56" t="s">
        <v>35</v>
      </c>
      <c r="E10" s="43">
        <v>62.1</v>
      </c>
      <c r="F10" s="42"/>
      <c r="G10" s="41">
        <v>4</v>
      </c>
      <c r="H10" s="148">
        <v>40.25</v>
      </c>
      <c r="I10" s="41">
        <f t="shared" si="1"/>
        <v>0</v>
      </c>
      <c r="J10" s="31">
        <f t="shared" si="0"/>
        <v>40.25</v>
      </c>
      <c r="K10" s="220"/>
      <c r="L10" s="222"/>
    </row>
    <row r="11" spans="1:16" s="3" customFormat="1" ht="30" customHeight="1" x14ac:dyDescent="0.25">
      <c r="A11" s="216">
        <v>3</v>
      </c>
      <c r="B11" s="218" t="s">
        <v>95</v>
      </c>
      <c r="C11" s="132" t="s">
        <v>96</v>
      </c>
      <c r="D11" s="56" t="s">
        <v>34</v>
      </c>
      <c r="E11" s="44">
        <v>80.8</v>
      </c>
      <c r="F11" s="42"/>
      <c r="G11" s="41">
        <v>6</v>
      </c>
      <c r="H11" s="148">
        <v>39.76</v>
      </c>
      <c r="I11" s="41">
        <f t="shared" si="1"/>
        <v>0</v>
      </c>
      <c r="J11" s="31">
        <f t="shared" si="0"/>
        <v>39.76</v>
      </c>
      <c r="K11" s="220">
        <f>AVERAGE(J11:J12)</f>
        <v>40.01</v>
      </c>
      <c r="L11" s="222">
        <v>4</v>
      </c>
    </row>
    <row r="12" spans="1:16" s="3" customFormat="1" ht="30" customHeight="1" x14ac:dyDescent="0.25">
      <c r="A12" s="216"/>
      <c r="B12" s="218"/>
      <c r="C12" s="132" t="s">
        <v>73</v>
      </c>
      <c r="D12" s="56" t="s">
        <v>33</v>
      </c>
      <c r="E12" s="44">
        <v>70.400000000000006</v>
      </c>
      <c r="F12" s="42"/>
      <c r="G12" s="41">
        <v>5</v>
      </c>
      <c r="H12" s="148">
        <v>40.26</v>
      </c>
      <c r="I12" s="41">
        <f t="shared" si="1"/>
        <v>0</v>
      </c>
      <c r="J12" s="31">
        <f t="shared" si="0"/>
        <v>40.26</v>
      </c>
      <c r="K12" s="220"/>
      <c r="L12" s="222"/>
    </row>
    <row r="13" spans="1:16" s="3" customFormat="1" ht="30" customHeight="1" x14ac:dyDescent="0.25">
      <c r="A13" s="223">
        <v>4</v>
      </c>
      <c r="B13" s="224" t="s">
        <v>98</v>
      </c>
      <c r="C13" s="133" t="s">
        <v>71</v>
      </c>
      <c r="D13" s="57" t="s">
        <v>31</v>
      </c>
      <c r="E13" s="109">
        <v>85.3</v>
      </c>
      <c r="F13" s="42">
        <v>8</v>
      </c>
      <c r="G13" s="41">
        <v>6</v>
      </c>
      <c r="H13" s="148">
        <v>40</v>
      </c>
      <c r="I13" s="41">
        <f t="shared" si="1"/>
        <v>0.1</v>
      </c>
      <c r="J13" s="31">
        <f t="shared" si="0"/>
        <v>39.9</v>
      </c>
      <c r="K13" s="220">
        <f>AVERAGE(J13:J14)</f>
        <v>39.869999999999997</v>
      </c>
      <c r="L13" s="222">
        <v>3</v>
      </c>
      <c r="N13" s="3" t="s">
        <v>32</v>
      </c>
    </row>
    <row r="14" spans="1:16" s="3" customFormat="1" ht="30" customHeight="1" x14ac:dyDescent="0.25">
      <c r="A14" s="216"/>
      <c r="B14" s="218"/>
      <c r="C14" s="132" t="s">
        <v>17</v>
      </c>
      <c r="D14" s="56" t="s">
        <v>30</v>
      </c>
      <c r="E14" s="44">
        <v>85.8</v>
      </c>
      <c r="F14" s="42">
        <v>8</v>
      </c>
      <c r="G14" s="41">
        <v>7</v>
      </c>
      <c r="H14" s="148">
        <v>39.94</v>
      </c>
      <c r="I14" s="41">
        <f t="shared" si="1"/>
        <v>0.1</v>
      </c>
      <c r="J14" s="31">
        <f t="shared" si="0"/>
        <v>39.839999999999996</v>
      </c>
      <c r="K14" s="220"/>
      <c r="L14" s="222"/>
      <c r="P14" s="3" t="s">
        <v>32</v>
      </c>
    </row>
    <row r="15" spans="1:16" s="3" customFormat="1" ht="30" customHeight="1" x14ac:dyDescent="0.25">
      <c r="A15" s="216">
        <v>5</v>
      </c>
      <c r="B15" s="218" t="s">
        <v>110</v>
      </c>
      <c r="C15" s="132" t="s">
        <v>109</v>
      </c>
      <c r="D15" s="56" t="s">
        <v>49</v>
      </c>
      <c r="E15" s="43">
        <v>88.7</v>
      </c>
      <c r="F15" s="42">
        <v>12</v>
      </c>
      <c r="G15" s="41">
        <v>13</v>
      </c>
      <c r="H15" s="148">
        <v>40.83</v>
      </c>
      <c r="I15" s="41">
        <f t="shared" si="1"/>
        <v>0.15</v>
      </c>
      <c r="J15" s="31">
        <f t="shared" si="0"/>
        <v>40.68</v>
      </c>
      <c r="K15" s="220">
        <f>AVERAGE(J15:J16)</f>
        <v>40.96</v>
      </c>
      <c r="L15" s="222">
        <v>9</v>
      </c>
    </row>
    <row r="16" spans="1:16" s="3" customFormat="1" ht="30" customHeight="1" x14ac:dyDescent="0.25">
      <c r="A16" s="216"/>
      <c r="B16" s="218"/>
      <c r="C16" s="132" t="s">
        <v>72</v>
      </c>
      <c r="D16" s="56" t="s">
        <v>50</v>
      </c>
      <c r="E16" s="43">
        <v>80.599999999999994</v>
      </c>
      <c r="F16" s="42"/>
      <c r="G16" s="41">
        <v>7</v>
      </c>
      <c r="H16" s="148">
        <v>41.24</v>
      </c>
      <c r="I16" s="41">
        <f t="shared" si="1"/>
        <v>0</v>
      </c>
      <c r="J16" s="31">
        <f t="shared" si="0"/>
        <v>41.24</v>
      </c>
      <c r="K16" s="220"/>
      <c r="L16" s="222"/>
    </row>
    <row r="17" spans="1:16" ht="27.75" customHeight="1" x14ac:dyDescent="0.25">
      <c r="A17" s="216">
        <v>6</v>
      </c>
      <c r="B17" s="218" t="s">
        <v>12</v>
      </c>
      <c r="C17" s="132" t="s">
        <v>19</v>
      </c>
      <c r="D17" s="56" t="s">
        <v>28</v>
      </c>
      <c r="E17" s="35" t="s">
        <v>121</v>
      </c>
      <c r="F17" s="34">
        <v>8</v>
      </c>
      <c r="G17" s="33">
        <v>8</v>
      </c>
      <c r="H17" s="149">
        <v>39.770000000000003</v>
      </c>
      <c r="I17" s="41">
        <f t="shared" si="1"/>
        <v>0.1</v>
      </c>
      <c r="J17" s="31">
        <f t="shared" si="0"/>
        <v>39.67</v>
      </c>
      <c r="K17" s="220">
        <f>AVERAGE(J17:J18)</f>
        <v>39.825000000000003</v>
      </c>
      <c r="L17" s="222">
        <v>2</v>
      </c>
    </row>
    <row r="18" spans="1:16" ht="27.75" customHeight="1" x14ac:dyDescent="0.25">
      <c r="A18" s="216"/>
      <c r="B18" s="218"/>
      <c r="C18" s="132" t="s">
        <v>23</v>
      </c>
      <c r="D18" s="56" t="s">
        <v>27</v>
      </c>
      <c r="E18" s="35" t="s">
        <v>114</v>
      </c>
      <c r="F18" s="34">
        <v>12</v>
      </c>
      <c r="G18" s="33">
        <v>10</v>
      </c>
      <c r="H18" s="149">
        <v>40.130000000000003</v>
      </c>
      <c r="I18" s="41">
        <f t="shared" si="1"/>
        <v>0.15</v>
      </c>
      <c r="J18" s="31">
        <f t="shared" si="0"/>
        <v>39.980000000000004</v>
      </c>
      <c r="K18" s="220"/>
      <c r="L18" s="222"/>
    </row>
    <row r="19" spans="1:16" ht="29.25" customHeight="1" x14ac:dyDescent="0.3">
      <c r="A19" s="223">
        <v>7</v>
      </c>
      <c r="B19" s="224" t="s">
        <v>111</v>
      </c>
      <c r="C19" s="133" t="s">
        <v>112</v>
      </c>
      <c r="D19" s="57" t="s">
        <v>51</v>
      </c>
      <c r="E19" s="40" t="s">
        <v>115</v>
      </c>
      <c r="F19" s="34">
        <v>16</v>
      </c>
      <c r="G19" s="33">
        <v>13</v>
      </c>
      <c r="H19" s="149">
        <v>40.54</v>
      </c>
      <c r="I19" s="41">
        <f t="shared" si="1"/>
        <v>0.2</v>
      </c>
      <c r="J19" s="31">
        <f t="shared" si="0"/>
        <v>40.339999999999996</v>
      </c>
      <c r="K19" s="220">
        <f>AVERAGE(J19:J20)</f>
        <v>40.015000000000001</v>
      </c>
      <c r="L19" s="222">
        <v>5</v>
      </c>
      <c r="P19" s="113"/>
    </row>
    <row r="20" spans="1:16" ht="29.25" customHeight="1" x14ac:dyDescent="0.3">
      <c r="A20" s="216"/>
      <c r="B20" s="218"/>
      <c r="C20" s="132" t="s">
        <v>113</v>
      </c>
      <c r="D20" s="56" t="s">
        <v>26</v>
      </c>
      <c r="E20" s="35" t="s">
        <v>122</v>
      </c>
      <c r="F20" s="34">
        <v>32</v>
      </c>
      <c r="G20" s="33">
        <v>21</v>
      </c>
      <c r="H20" s="149">
        <v>40.090000000000003</v>
      </c>
      <c r="I20" s="41">
        <f t="shared" si="1"/>
        <v>0.4</v>
      </c>
      <c r="J20" s="31">
        <f t="shared" si="0"/>
        <v>39.690000000000005</v>
      </c>
      <c r="K20" s="220"/>
      <c r="L20" s="222"/>
      <c r="P20" s="113"/>
    </row>
    <row r="21" spans="1:16" ht="29.25" customHeight="1" x14ac:dyDescent="0.25">
      <c r="A21" s="216">
        <v>8</v>
      </c>
      <c r="B21" s="218" t="s">
        <v>14</v>
      </c>
      <c r="C21" s="132" t="s">
        <v>93</v>
      </c>
      <c r="D21" s="56" t="s">
        <v>24</v>
      </c>
      <c r="E21" s="35" t="s">
        <v>104</v>
      </c>
      <c r="F21" s="34"/>
      <c r="G21" s="33">
        <v>33</v>
      </c>
      <c r="H21" s="149">
        <v>39.57</v>
      </c>
      <c r="I21" s="41">
        <f t="shared" si="1"/>
        <v>0</v>
      </c>
      <c r="J21" s="31">
        <f t="shared" si="0"/>
        <v>39.57</v>
      </c>
      <c r="K21" s="220">
        <f>AVERAGE(J21:J22)</f>
        <v>39.78</v>
      </c>
      <c r="L21" s="222">
        <v>1</v>
      </c>
    </row>
    <row r="22" spans="1:16" ht="29.25" customHeight="1" x14ac:dyDescent="0.25">
      <c r="A22" s="216"/>
      <c r="B22" s="218"/>
      <c r="C22" s="132" t="s">
        <v>94</v>
      </c>
      <c r="D22" s="56" t="s">
        <v>22</v>
      </c>
      <c r="E22" s="35" t="s">
        <v>103</v>
      </c>
      <c r="F22" s="34"/>
      <c r="G22" s="33">
        <v>21</v>
      </c>
      <c r="H22" s="149">
        <v>39.99</v>
      </c>
      <c r="I22" s="41">
        <f t="shared" si="1"/>
        <v>0</v>
      </c>
      <c r="J22" s="31">
        <f t="shared" si="0"/>
        <v>39.99</v>
      </c>
      <c r="K22" s="220"/>
      <c r="L22" s="222"/>
    </row>
    <row r="23" spans="1:16" ht="29.25" customHeight="1" x14ac:dyDescent="0.25">
      <c r="A23" s="223">
        <v>9</v>
      </c>
      <c r="B23" s="224" t="s">
        <v>108</v>
      </c>
      <c r="C23" s="133" t="s">
        <v>99</v>
      </c>
      <c r="D23" s="57" t="s">
        <v>21</v>
      </c>
      <c r="E23" s="40" t="s">
        <v>101</v>
      </c>
      <c r="F23" s="34"/>
      <c r="G23" s="33">
        <v>69</v>
      </c>
      <c r="H23" s="149">
        <v>41.16</v>
      </c>
      <c r="I23" s="41">
        <f t="shared" si="1"/>
        <v>0</v>
      </c>
      <c r="J23" s="31">
        <f t="shared" si="0"/>
        <v>41.16</v>
      </c>
      <c r="K23" s="220">
        <f t="shared" ref="K23" si="2">AVERAGE(J23:J24)</f>
        <v>41.11</v>
      </c>
      <c r="L23" s="222">
        <v>10</v>
      </c>
    </row>
    <row r="24" spans="1:16" ht="29.25" customHeight="1" x14ac:dyDescent="0.25">
      <c r="A24" s="233"/>
      <c r="B24" s="234"/>
      <c r="C24" s="134" t="s">
        <v>100</v>
      </c>
      <c r="D24" s="58" t="s">
        <v>20</v>
      </c>
      <c r="E24" s="39" t="s">
        <v>102</v>
      </c>
      <c r="F24" s="38"/>
      <c r="G24" s="37">
        <v>1</v>
      </c>
      <c r="H24" s="150">
        <v>41.06</v>
      </c>
      <c r="I24" s="41">
        <f t="shared" si="1"/>
        <v>0</v>
      </c>
      <c r="J24" s="36">
        <f t="shared" si="0"/>
        <v>41.06</v>
      </c>
      <c r="K24" s="220"/>
      <c r="L24" s="235"/>
    </row>
    <row r="25" spans="1:16" ht="29.25" customHeight="1" x14ac:dyDescent="0.25">
      <c r="A25" s="216">
        <v>10</v>
      </c>
      <c r="B25" s="218" t="s">
        <v>105</v>
      </c>
      <c r="C25" s="132" t="s">
        <v>106</v>
      </c>
      <c r="D25" s="56" t="s">
        <v>18</v>
      </c>
      <c r="E25" s="35" t="s">
        <v>97</v>
      </c>
      <c r="F25" s="34"/>
      <c r="G25" s="33">
        <v>1</v>
      </c>
      <c r="H25" s="149">
        <v>40.36</v>
      </c>
      <c r="I25" s="41">
        <f t="shared" si="1"/>
        <v>0</v>
      </c>
      <c r="J25" s="32">
        <f t="shared" si="0"/>
        <v>40.36</v>
      </c>
      <c r="K25" s="220">
        <f t="shared" ref="K25:K27" si="3">AVERAGE(J25:J26)</f>
        <v>40.370000000000005</v>
      </c>
      <c r="L25" s="222">
        <v>8</v>
      </c>
    </row>
    <row r="26" spans="1:16" ht="27" customHeight="1" thickBot="1" x14ac:dyDescent="0.3">
      <c r="A26" s="236"/>
      <c r="B26" s="237"/>
      <c r="C26" s="142" t="s">
        <v>25</v>
      </c>
      <c r="D26" s="59" t="s">
        <v>16</v>
      </c>
      <c r="E26" s="143" t="s">
        <v>107</v>
      </c>
      <c r="F26" s="144"/>
      <c r="G26" s="145">
        <v>2</v>
      </c>
      <c r="H26" s="151">
        <v>40.380000000000003</v>
      </c>
      <c r="I26" s="146">
        <f t="shared" si="1"/>
        <v>0</v>
      </c>
      <c r="J26" s="110">
        <f t="shared" si="0"/>
        <v>40.380000000000003</v>
      </c>
      <c r="K26" s="230"/>
      <c r="L26" s="238"/>
    </row>
    <row r="27" spans="1:16" ht="35.25" hidden="1" customHeight="1" x14ac:dyDescent="0.25">
      <c r="A27" s="227">
        <v>11</v>
      </c>
      <c r="B27" s="225"/>
      <c r="C27" s="136"/>
      <c r="D27" s="57" t="s">
        <v>74</v>
      </c>
      <c r="E27" s="137"/>
      <c r="F27" s="138"/>
      <c r="G27" s="139"/>
      <c r="H27" s="140"/>
      <c r="I27" s="141">
        <f t="shared" si="1"/>
        <v>0</v>
      </c>
      <c r="J27" s="31">
        <f t="shared" ref="J27:J28" si="4">H27-I27</f>
        <v>0</v>
      </c>
      <c r="K27" s="229">
        <f t="shared" si="3"/>
        <v>0</v>
      </c>
      <c r="L27" s="231"/>
    </row>
    <row r="28" spans="1:16" ht="33.75" hidden="1" customHeight="1" thickBot="1" x14ac:dyDescent="0.3">
      <c r="A28" s="228"/>
      <c r="B28" s="226"/>
      <c r="C28" s="135"/>
      <c r="D28" s="59" t="s">
        <v>75</v>
      </c>
      <c r="E28" s="48"/>
      <c r="F28" s="47"/>
      <c r="G28" s="111"/>
      <c r="H28" s="48"/>
      <c r="I28" s="41">
        <f t="shared" si="1"/>
        <v>0</v>
      </c>
      <c r="J28" s="110">
        <f t="shared" si="4"/>
        <v>0</v>
      </c>
      <c r="K28" s="230"/>
      <c r="L28" s="232"/>
    </row>
  </sheetData>
  <mergeCells count="53">
    <mergeCell ref="B27:B28"/>
    <mergeCell ref="A27:A28"/>
    <mergeCell ref="K27:K28"/>
    <mergeCell ref="L27:L28"/>
    <mergeCell ref="A23:A24"/>
    <mergeCell ref="B23:B24"/>
    <mergeCell ref="K23:K24"/>
    <mergeCell ref="L23:L24"/>
    <mergeCell ref="A25:A26"/>
    <mergeCell ref="B25:B26"/>
    <mergeCell ref="K25:K26"/>
    <mergeCell ref="L25:L26"/>
    <mergeCell ref="A19:A20"/>
    <mergeCell ref="B19:B20"/>
    <mergeCell ref="K19:K20"/>
    <mergeCell ref="L19:L20"/>
    <mergeCell ref="A21:A22"/>
    <mergeCell ref="B21:B22"/>
    <mergeCell ref="K21:K22"/>
    <mergeCell ref="L21:L22"/>
    <mergeCell ref="A15:A16"/>
    <mergeCell ref="B15:B16"/>
    <mergeCell ref="K15:K16"/>
    <mergeCell ref="L15:L16"/>
    <mergeCell ref="A17:A18"/>
    <mergeCell ref="B17:B18"/>
    <mergeCell ref="K17:K18"/>
    <mergeCell ref="L17:L18"/>
    <mergeCell ref="A11:A12"/>
    <mergeCell ref="B11:B12"/>
    <mergeCell ref="K11:K12"/>
    <mergeCell ref="L11:L12"/>
    <mergeCell ref="A13:A14"/>
    <mergeCell ref="B13:B14"/>
    <mergeCell ref="K13:K14"/>
    <mergeCell ref="L13:L14"/>
    <mergeCell ref="A7:A8"/>
    <mergeCell ref="B7:B8"/>
    <mergeCell ref="K7:K8"/>
    <mergeCell ref="L7:L8"/>
    <mergeCell ref="A9:A10"/>
    <mergeCell ref="B9:B10"/>
    <mergeCell ref="K9:K10"/>
    <mergeCell ref="L9:L10"/>
    <mergeCell ref="A1:L1"/>
    <mergeCell ref="A3:L3"/>
    <mergeCell ref="A5:A6"/>
    <mergeCell ref="B5:B6"/>
    <mergeCell ref="C5:C6"/>
    <mergeCell ref="D5:D6"/>
    <mergeCell ref="E5:E6"/>
    <mergeCell ref="F5:F6"/>
    <mergeCell ref="G5:L5"/>
  </mergeCells>
  <pageMargins left="0.31496062992125984" right="0.31496062992125984" top="0.15748031496062992" bottom="0.11811023622047245" header="0.31496062992125984" footer="0.31496062992125984"/>
  <pageSetup paperSize="9" scale="69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L11" sqref="L11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9" t="s">
        <v>89</v>
      </c>
      <c r="B4" s="239"/>
      <c r="C4" s="239"/>
      <c r="D4" s="239"/>
      <c r="E4" s="239"/>
      <c r="F4" s="239"/>
      <c r="G4" s="239"/>
      <c r="H4" s="239"/>
      <c r="I4" s="239"/>
      <c r="J4" s="239"/>
      <c r="K4" s="239"/>
      <c r="L4" s="239"/>
    </row>
    <row r="5" spans="1:16" ht="7.5" customHeight="1" x14ac:dyDescent="0.25"/>
    <row r="6" spans="1:16" ht="17.25" x14ac:dyDescent="0.3">
      <c r="A6" s="189" t="s">
        <v>12</v>
      </c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</row>
    <row r="7" spans="1:16" ht="7.5" customHeight="1" x14ac:dyDescent="0.25"/>
    <row r="8" spans="1:16" s="2" customFormat="1" ht="20.25" customHeight="1" x14ac:dyDescent="0.25">
      <c r="A8" s="240" t="s">
        <v>52</v>
      </c>
      <c r="B8" s="241" t="s">
        <v>47</v>
      </c>
      <c r="C8" s="242" t="s">
        <v>42</v>
      </c>
      <c r="D8" s="241" t="s">
        <v>53</v>
      </c>
      <c r="E8" s="244" t="s">
        <v>54</v>
      </c>
      <c r="F8" s="246" t="s">
        <v>55</v>
      </c>
      <c r="G8" s="247"/>
      <c r="H8" s="247"/>
      <c r="I8" s="248"/>
      <c r="J8" s="249" t="s">
        <v>56</v>
      </c>
      <c r="K8" s="240" t="s">
        <v>57</v>
      </c>
      <c r="L8" s="240"/>
      <c r="M8" s="60"/>
      <c r="N8" s="60"/>
    </row>
    <row r="9" spans="1:16" s="2" customFormat="1" ht="27.75" customHeight="1" x14ac:dyDescent="0.25">
      <c r="A9" s="240"/>
      <c r="B9" s="241"/>
      <c r="C9" s="243"/>
      <c r="D9" s="241"/>
      <c r="E9" s="245"/>
      <c r="F9" s="61" t="s">
        <v>58</v>
      </c>
      <c r="G9" s="61" t="s">
        <v>59</v>
      </c>
      <c r="H9" s="61" t="s">
        <v>60</v>
      </c>
      <c r="I9" s="62" t="s">
        <v>61</v>
      </c>
      <c r="J9" s="250"/>
      <c r="K9" s="63" t="s">
        <v>62</v>
      </c>
      <c r="L9" s="63" t="s">
        <v>63</v>
      </c>
      <c r="M9" s="64" t="s">
        <v>64</v>
      </c>
      <c r="N9" s="64" t="s">
        <v>65</v>
      </c>
    </row>
    <row r="10" spans="1:16" s="3" customFormat="1" ht="30" customHeight="1" thickBot="1" x14ac:dyDescent="0.3">
      <c r="A10" s="65">
        <v>1</v>
      </c>
      <c r="B10" s="66" t="s">
        <v>23</v>
      </c>
      <c r="C10" s="67">
        <v>7</v>
      </c>
      <c r="D10" s="67">
        <v>22</v>
      </c>
      <c r="E10" s="68">
        <f>D10</f>
        <v>22</v>
      </c>
      <c r="F10" s="117">
        <v>40.1</v>
      </c>
      <c r="G10" s="70">
        <f>(45.51+42.75+40.6+42.47+40.51+40.65+40.15+40.44+41.41+40.72+40.22+40.1+40.23+40.18+40.38+40.36+40.46+40.44+40.38+40.4+40.41+41.19)/22</f>
        <v>40.907272727272726</v>
      </c>
      <c r="H10" s="69">
        <v>2</v>
      </c>
      <c r="I10" s="71">
        <f>G10-F10</f>
        <v>0.80727272727272492</v>
      </c>
      <c r="J10" s="72">
        <v>1.0462962962962964E-2</v>
      </c>
      <c r="K10" s="72">
        <f>J10</f>
        <v>1.0462962962962964E-2</v>
      </c>
      <c r="L10" s="73">
        <f>K10</f>
        <v>1.0462962962962964E-2</v>
      </c>
      <c r="M10" s="74" t="s">
        <v>128</v>
      </c>
      <c r="N10" s="75">
        <v>-20</v>
      </c>
      <c r="O10" s="153" t="s">
        <v>66</v>
      </c>
      <c r="P10" s="115"/>
    </row>
    <row r="11" spans="1:16" s="3" customFormat="1" ht="30" customHeight="1" x14ac:dyDescent="0.25">
      <c r="A11" s="65">
        <v>2</v>
      </c>
      <c r="B11" s="66" t="s">
        <v>19</v>
      </c>
      <c r="C11" s="67">
        <v>21</v>
      </c>
      <c r="D11" s="67">
        <v>71</v>
      </c>
      <c r="E11" s="68">
        <f>D11-D10</f>
        <v>49</v>
      </c>
      <c r="F11" s="182">
        <v>39.549999999999997</v>
      </c>
      <c r="G11" s="122">
        <f>(40.32+41.12+39.92+39.82+39.69+40.8+39.93+39.62+39.7+39.55+39.6+39.6+39.82+39.75+40.09+39.7+39.77+39.68+39.88+40.02+39.74+39.98+39.95+40.14+39.87+39.73+39.79+39.78+39.77+39.88+39.89+39.77+39.69+39.74+39.83+39.96+39.89+39.72+39.88+39.95+39.79+39.96+40.13+39.87+40.11+40.03+40.01+39.87)/48</f>
        <v>39.897916666666674</v>
      </c>
      <c r="H11" s="69">
        <v>3</v>
      </c>
      <c r="I11" s="71">
        <f>G11-F11</f>
        <v>0.34791666666667709</v>
      </c>
      <c r="J11" s="72">
        <v>3.394675925925926E-2</v>
      </c>
      <c r="K11" s="72">
        <f>J11-J10</f>
        <v>2.3483796296296294E-2</v>
      </c>
      <c r="L11" s="73">
        <f>K11</f>
        <v>2.3483796296296294E-2</v>
      </c>
      <c r="M11" s="74" t="s">
        <v>129</v>
      </c>
      <c r="N11" s="75"/>
      <c r="O11" s="114"/>
      <c r="P11" s="115"/>
    </row>
    <row r="12" spans="1:16" s="3" customFormat="1" ht="30" customHeight="1" thickBot="1" x14ac:dyDescent="0.3">
      <c r="A12" s="65">
        <v>3</v>
      </c>
      <c r="B12" s="66" t="s">
        <v>23</v>
      </c>
      <c r="C12" s="116">
        <v>69</v>
      </c>
      <c r="D12" s="67">
        <v>122</v>
      </c>
      <c r="E12" s="68">
        <f>D12-D11</f>
        <v>51</v>
      </c>
      <c r="F12" s="181">
        <v>39.880000000000003</v>
      </c>
      <c r="G12" s="78">
        <f>(40.52+39.99+40.01+40.16+40.12+39.96+41.61+40.14+40.25+40.21+40.2+40.34+40.02+39.95+40.22+40.07+40.66+40.07+39.93+39.88+40.09+40.13+41.42+41.01+39.95+39.93+40.26+43.25+40.55+40.24+43.46+40.57+40.14+40.1+40.15+39.92+40.19+39.93+40.05+40.25+39.99+40.57+40.38+40.37+40.17+40.11+40.36+39.96+39.99+40.44)/50</f>
        <v>40.364800000000002</v>
      </c>
      <c r="H12" s="69">
        <v>8</v>
      </c>
      <c r="I12" s="71">
        <f>G12-F12</f>
        <v>0.4847999999999999</v>
      </c>
      <c r="J12" s="72">
        <v>5.8865740740740739E-2</v>
      </c>
      <c r="K12" s="72">
        <f>J12-J11</f>
        <v>2.4918981481481479E-2</v>
      </c>
      <c r="L12" s="72">
        <f>K12+K10</f>
        <v>3.5381944444444445E-2</v>
      </c>
      <c r="M12" s="74" t="s">
        <v>153</v>
      </c>
      <c r="N12" s="75"/>
      <c r="O12" s="22"/>
    </row>
    <row r="13" spans="1:16" s="3" customFormat="1" ht="30" customHeight="1" thickBot="1" x14ac:dyDescent="0.3">
      <c r="A13" s="125" t="s">
        <v>67</v>
      </c>
      <c r="B13" s="80" t="s">
        <v>19</v>
      </c>
      <c r="C13" s="81">
        <v>10</v>
      </c>
      <c r="D13" s="81">
        <v>173</v>
      </c>
      <c r="E13" s="68">
        <f>D13-D12</f>
        <v>51</v>
      </c>
      <c r="F13" s="128">
        <v>39.83</v>
      </c>
      <c r="G13" s="118">
        <f>(40.33+40.05+39.93+39.9+39.92+40.18+39.9+39.86+39.83+40.74+40.06+40.89+40.03+40.37+40.36+40.1+42.12+41.36+40.46+40.1+39.87+40.12+41.75+40.55+40.15+40.48+40.28+40.32+41.09+40.41+40.5+39.83+39.9+40.01+39.91+39.99+40.18+39.92+40.08+40.1+40.06+40.33+40.33+41.51+40.04+40.81+40.11+40.01+40+40.11)/50</f>
        <v>40.304799999999993</v>
      </c>
      <c r="H13" s="84">
        <v>10</v>
      </c>
      <c r="I13" s="85">
        <f>G13-F13</f>
        <v>0.47479999999999478</v>
      </c>
      <c r="J13" s="126">
        <v>8.3738425925925938E-2</v>
      </c>
      <c r="K13" s="108">
        <f>J13-J12</f>
        <v>2.4872685185185199E-2</v>
      </c>
      <c r="L13" s="126">
        <f>K13+K11</f>
        <v>4.8356481481481493E-2</v>
      </c>
      <c r="M13" s="74"/>
      <c r="N13" s="75"/>
    </row>
    <row r="14" spans="1:16" s="3" customFormat="1" ht="30" customHeight="1" x14ac:dyDescent="0.25">
      <c r="A14" s="87"/>
      <c r="B14" s="88"/>
      <c r="C14" s="89"/>
      <c r="D14" s="89"/>
      <c r="E14" s="89"/>
      <c r="F14" s="124">
        <f>AVERAGE(F10,F12)</f>
        <v>39.99</v>
      </c>
      <c r="G14" s="91">
        <f>AVERAGE(G10,G12)</f>
        <v>40.636036363636364</v>
      </c>
      <c r="H14" s="91" t="s">
        <v>78</v>
      </c>
      <c r="I14" s="92">
        <f>AVERAGE(I10,I12)</f>
        <v>0.64603636363636241</v>
      </c>
      <c r="J14" s="89"/>
      <c r="K14" s="89"/>
      <c r="L14" s="89"/>
      <c r="M14" s="93"/>
      <c r="N14" s="93"/>
    </row>
    <row r="15" spans="1:16" ht="27.75" customHeight="1" x14ac:dyDescent="0.25">
      <c r="A15" s="94"/>
      <c r="B15" s="94"/>
      <c r="C15" s="94"/>
      <c r="D15" s="95"/>
      <c r="E15" s="96"/>
      <c r="F15" s="97">
        <f>AVERAGE(F11,F13)</f>
        <v>39.69</v>
      </c>
      <c r="G15" s="98">
        <f>AVERAGE(G11,G13)</f>
        <v>40.101358333333337</v>
      </c>
      <c r="H15" s="98" t="s">
        <v>68</v>
      </c>
      <c r="I15" s="99">
        <f>AVERAGE(I11,I13)</f>
        <v>0.41135833333333593</v>
      </c>
      <c r="J15" s="96"/>
      <c r="K15" s="96" t="s">
        <v>32</v>
      </c>
      <c r="L15" s="96"/>
      <c r="M15" s="93"/>
      <c r="N15" s="93"/>
    </row>
    <row r="16" spans="1:16" ht="30" customHeight="1" thickBot="1" x14ac:dyDescent="0.3">
      <c r="A16" s="100"/>
      <c r="B16" s="100"/>
      <c r="C16" s="100"/>
      <c r="D16" s="96"/>
      <c r="E16" s="96"/>
      <c r="F16" s="101">
        <f>AVERAGE(F10:F13)</f>
        <v>39.840000000000003</v>
      </c>
      <c r="G16" s="102">
        <f>AVERAGE(G10:G13)</f>
        <v>40.368697348484851</v>
      </c>
      <c r="H16" s="103"/>
      <c r="I16" s="104">
        <f>AVERAGE(I10:I13)</f>
        <v>0.52869734848484917</v>
      </c>
      <c r="J16" s="96"/>
      <c r="K16" s="96"/>
      <c r="L16" s="96"/>
      <c r="M16" s="100"/>
      <c r="N16" s="100"/>
    </row>
    <row r="19" spans="13:14" x14ac:dyDescent="0.25">
      <c r="M19" s="2"/>
      <c r="N19" s="2"/>
    </row>
    <row r="20" spans="13:14" x14ac:dyDescent="0.25">
      <c r="M20" s="3"/>
      <c r="N20" s="3"/>
    </row>
    <row r="21" spans="13:14" x14ac:dyDescent="0.25">
      <c r="M21" s="3"/>
      <c r="N21" s="3"/>
    </row>
    <row r="22" spans="13:14" x14ac:dyDescent="0.25">
      <c r="M22" s="3"/>
      <c r="N22" s="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O11" sqref="O11:R11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9" t="s">
        <v>89</v>
      </c>
      <c r="B4" s="239"/>
      <c r="C4" s="239"/>
      <c r="D4" s="239"/>
      <c r="E4" s="239"/>
      <c r="F4" s="239"/>
      <c r="G4" s="239"/>
      <c r="H4" s="239"/>
      <c r="I4" s="239"/>
      <c r="J4" s="239"/>
      <c r="K4" s="239"/>
      <c r="L4" s="239"/>
    </row>
    <row r="5" spans="1:16" ht="7.5" customHeight="1" x14ac:dyDescent="0.25"/>
    <row r="6" spans="1:16" ht="17.25" x14ac:dyDescent="0.3">
      <c r="A6" s="189" t="s">
        <v>98</v>
      </c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</row>
    <row r="7" spans="1:16" ht="7.5" customHeight="1" x14ac:dyDescent="0.25"/>
    <row r="8" spans="1:16" s="2" customFormat="1" ht="20.25" customHeight="1" x14ac:dyDescent="0.25">
      <c r="A8" s="240" t="s">
        <v>52</v>
      </c>
      <c r="B8" s="241" t="s">
        <v>47</v>
      </c>
      <c r="C8" s="242" t="s">
        <v>42</v>
      </c>
      <c r="D8" s="241" t="s">
        <v>53</v>
      </c>
      <c r="E8" s="244" t="s">
        <v>54</v>
      </c>
      <c r="F8" s="246" t="s">
        <v>55</v>
      </c>
      <c r="G8" s="247"/>
      <c r="H8" s="247"/>
      <c r="I8" s="248"/>
      <c r="J8" s="249" t="s">
        <v>56</v>
      </c>
      <c r="K8" s="240" t="s">
        <v>57</v>
      </c>
      <c r="L8" s="240"/>
      <c r="M8" s="60"/>
      <c r="N8" s="60"/>
    </row>
    <row r="9" spans="1:16" s="2" customFormat="1" ht="27.75" customHeight="1" x14ac:dyDescent="0.25">
      <c r="A9" s="240"/>
      <c r="B9" s="241"/>
      <c r="C9" s="243"/>
      <c r="D9" s="241"/>
      <c r="E9" s="245"/>
      <c r="F9" s="61" t="s">
        <v>58</v>
      </c>
      <c r="G9" s="61" t="s">
        <v>59</v>
      </c>
      <c r="H9" s="61" t="s">
        <v>60</v>
      </c>
      <c r="I9" s="62" t="s">
        <v>61</v>
      </c>
      <c r="J9" s="250"/>
      <c r="K9" s="63" t="s">
        <v>62</v>
      </c>
      <c r="L9" s="63" t="s">
        <v>63</v>
      </c>
      <c r="M9" s="64" t="s">
        <v>64</v>
      </c>
      <c r="N9" s="64" t="s">
        <v>65</v>
      </c>
    </row>
    <row r="10" spans="1:16" s="3" customFormat="1" ht="30" customHeight="1" thickBot="1" x14ac:dyDescent="0.3">
      <c r="A10" s="65">
        <v>1</v>
      </c>
      <c r="B10" s="66" t="s">
        <v>17</v>
      </c>
      <c r="C10" s="67">
        <v>5</v>
      </c>
      <c r="D10" s="67">
        <v>26</v>
      </c>
      <c r="E10" s="68">
        <f>D10</f>
        <v>26</v>
      </c>
      <c r="F10" s="84">
        <v>39.86</v>
      </c>
      <c r="G10" s="70">
        <f>(42.03+40.18+39.95+40.52+40.13+40.97+41.32+40.11+39.93+39.93+41.66+39.95+40.1+43.96+41.13+40.14+39.96+39.86+39.93+39.87+40.22+39.96+40.4+40.04+40.91+41.03)/26</f>
        <v>40.545769230769231</v>
      </c>
      <c r="H10" s="69">
        <v>8</v>
      </c>
      <c r="I10" s="71">
        <f>G10-F10</f>
        <v>0.6857692307692318</v>
      </c>
      <c r="J10" s="72">
        <v>1.2256944444444444E-2</v>
      </c>
      <c r="K10" s="72">
        <f>J10</f>
        <v>1.2256944444444444E-2</v>
      </c>
      <c r="L10" s="73">
        <f>K10</f>
        <v>1.2256944444444444E-2</v>
      </c>
      <c r="M10" s="74" t="s">
        <v>137</v>
      </c>
      <c r="N10" s="75">
        <v>-16</v>
      </c>
      <c r="O10" s="153" t="s">
        <v>66</v>
      </c>
      <c r="P10" s="115"/>
    </row>
    <row r="11" spans="1:16" s="3" customFormat="1" ht="30" customHeight="1" thickBot="1" x14ac:dyDescent="0.3">
      <c r="A11" s="65">
        <v>2</v>
      </c>
      <c r="B11" s="66" t="s">
        <v>71</v>
      </c>
      <c r="C11" s="67">
        <v>69</v>
      </c>
      <c r="D11" s="67">
        <v>68</v>
      </c>
      <c r="E11" s="68">
        <f>D11-D10</f>
        <v>42</v>
      </c>
      <c r="F11" s="123">
        <v>39.950000000000003</v>
      </c>
      <c r="G11" s="122">
        <f>(40.37+41+40.55+40.37+40.08+41.61+40.32+40.26+40.11+40.16+40.21+40.19+40.58+40.33+39.96+40.31+40.18+40.3+40.03+40.28+40.4+40.09+39.95+41.26+41.1+40.43+40.26+40.14+40.62+40.13+40.17+40.32+40.2+40.33+40.53+40.4+40.53+40.47+40.41+40.01+40.78)/41</f>
        <v>40.383658536585372</v>
      </c>
      <c r="H11" s="69">
        <v>3</v>
      </c>
      <c r="I11" s="71">
        <f>G11-F11</f>
        <v>0.43365853658536935</v>
      </c>
      <c r="J11" s="72">
        <v>3.2800925925925928E-2</v>
      </c>
      <c r="K11" s="72">
        <f>J11-J10</f>
        <v>2.0543981481481483E-2</v>
      </c>
      <c r="L11" s="73">
        <f>K11</f>
        <v>2.0543981481481483E-2</v>
      </c>
      <c r="M11" s="74" t="s">
        <v>138</v>
      </c>
      <c r="N11" s="75"/>
      <c r="O11" s="114"/>
      <c r="P11" s="115"/>
    </row>
    <row r="12" spans="1:16" s="3" customFormat="1" ht="30" customHeight="1" thickBot="1" x14ac:dyDescent="0.3">
      <c r="A12" s="65">
        <v>3</v>
      </c>
      <c r="B12" s="66" t="s">
        <v>17</v>
      </c>
      <c r="C12" s="116">
        <v>4</v>
      </c>
      <c r="D12" s="67">
        <v>128</v>
      </c>
      <c r="E12" s="68">
        <f>D12-D11</f>
        <v>60</v>
      </c>
      <c r="F12" s="77">
        <v>39.82</v>
      </c>
      <c r="G12" s="78">
        <f>(40.51+40.25+40.19+40.36+40.2+40.18+40.26+40+40.05+40.22+40.05+40.18+40.1+40.12+40+40.29+39.99+39.91+39.92+39.99+40.04+40.03+40+39.89+39.99+39.96+40.17+39.94+40.21+39.83+40.04+40.17+40.07+40.18+39.82+40.31+39.97+40.03+40.14+39.9+40.07+40.1+40.11+40.32+40.19+40.21+40.16+40.04+39.99+39.9+39.98+40.06+39.95+40.08+39.95+40.23+40.23+40.48+41.24)/59</f>
        <v>40.11440677966101</v>
      </c>
      <c r="H12" s="69">
        <v>6</v>
      </c>
      <c r="I12" s="71">
        <f>G12-F12</f>
        <v>0.29440677966100992</v>
      </c>
      <c r="J12" s="72">
        <v>6.1782407407407404E-2</v>
      </c>
      <c r="K12" s="72">
        <f>J12-J11</f>
        <v>2.8981481481481476E-2</v>
      </c>
      <c r="L12" s="72">
        <f>K12+K10</f>
        <v>4.1238425925925921E-2</v>
      </c>
      <c r="M12" s="74" t="s">
        <v>157</v>
      </c>
      <c r="N12" s="75"/>
      <c r="O12" s="22"/>
    </row>
    <row r="13" spans="1:16" s="3" customFormat="1" ht="30" customHeight="1" thickBot="1" x14ac:dyDescent="0.3">
      <c r="A13" s="125" t="s">
        <v>67</v>
      </c>
      <c r="B13" s="80" t="s">
        <v>71</v>
      </c>
      <c r="C13" s="81">
        <v>69</v>
      </c>
      <c r="D13" s="81">
        <v>173</v>
      </c>
      <c r="E13" s="68">
        <f>D13-D12</f>
        <v>45</v>
      </c>
      <c r="F13" s="185">
        <v>39.97</v>
      </c>
      <c r="G13" s="70">
        <f>(40.75+40.5+40.36+40.26+40.24+40.19+40.26+40.39+40.26+40.38+40.25+40.26+40.38+40.12+40.23+40.42+40.26+40.67+40.62+40.34+40.43+40.08+40.33+40.54+40.32+40.08+40.11+40.09+39.97+40.07+40.23+40.28+40.18+40.17+40.34+40.21+40.09+40.35+40.19+40.27+40.97+42.11+41.69+42.02)/44</f>
        <v>40.414999999999992</v>
      </c>
      <c r="H13" s="69">
        <v>1</v>
      </c>
      <c r="I13" s="85">
        <f>G13-F13</f>
        <v>0.44499999999999318</v>
      </c>
      <c r="J13" s="126">
        <v>8.3888888888888888E-2</v>
      </c>
      <c r="K13" s="108">
        <f>J13-J12</f>
        <v>2.2106481481481484E-2</v>
      </c>
      <c r="L13" s="126">
        <f>K13+K11</f>
        <v>4.2650462962962966E-2</v>
      </c>
      <c r="M13" s="74"/>
      <c r="N13" s="75"/>
    </row>
    <row r="14" spans="1:16" s="3" customFormat="1" ht="30" customHeight="1" x14ac:dyDescent="0.25">
      <c r="A14" s="87"/>
      <c r="B14" s="88"/>
      <c r="C14" s="89"/>
      <c r="D14" s="89"/>
      <c r="E14" s="89"/>
      <c r="F14" s="90">
        <f>AVERAGE(F10,F12)</f>
        <v>39.840000000000003</v>
      </c>
      <c r="G14" s="106">
        <f>AVERAGE(G10,G12)</f>
        <v>40.330088005215117</v>
      </c>
      <c r="H14" s="106" t="s">
        <v>69</v>
      </c>
      <c r="I14" s="92">
        <f>AVERAGE(I10,I12)</f>
        <v>0.49008800521512086</v>
      </c>
      <c r="J14" s="89"/>
      <c r="K14" s="89"/>
      <c r="L14" s="89"/>
      <c r="M14" s="93"/>
      <c r="N14" s="93"/>
    </row>
    <row r="15" spans="1:16" ht="27.75" customHeight="1" x14ac:dyDescent="0.25">
      <c r="A15" s="94"/>
      <c r="B15" s="94"/>
      <c r="C15" s="94"/>
      <c r="D15" s="95"/>
      <c r="E15" s="96"/>
      <c r="F15" s="97">
        <f>AVERAGE(F11,F13)</f>
        <v>39.96</v>
      </c>
      <c r="G15" s="98">
        <f>AVERAGE(G11,G13)</f>
        <v>40.399329268292682</v>
      </c>
      <c r="H15" s="98" t="s">
        <v>77</v>
      </c>
      <c r="I15" s="99">
        <f>AVERAGE(I11,I13)</f>
        <v>0.43932926829268126</v>
      </c>
      <c r="J15" s="96"/>
      <c r="K15" s="96" t="s">
        <v>32</v>
      </c>
      <c r="L15" s="96"/>
      <c r="M15" s="93"/>
      <c r="N15" s="93"/>
    </row>
    <row r="16" spans="1:16" ht="30" customHeight="1" thickBot="1" x14ac:dyDescent="0.3">
      <c r="A16" s="100"/>
      <c r="B16" s="100"/>
      <c r="C16" s="100"/>
      <c r="D16" s="96"/>
      <c r="E16" s="96"/>
      <c r="F16" s="101">
        <f>AVERAGE(F10:F13)</f>
        <v>39.9</v>
      </c>
      <c r="G16" s="102">
        <f>AVERAGE(G10:G13)</f>
        <v>40.364708636753903</v>
      </c>
      <c r="H16" s="103"/>
      <c r="I16" s="104">
        <f>AVERAGE(I10:I13)</f>
        <v>0.46470863675390106</v>
      </c>
      <c r="J16" s="96"/>
      <c r="K16" s="96"/>
      <c r="L16" s="96"/>
      <c r="M16" s="100"/>
      <c r="N16" s="100"/>
    </row>
    <row r="19" spans="13:14" x14ac:dyDescent="0.25">
      <c r="M19" s="2"/>
      <c r="N19" s="2"/>
    </row>
    <row r="20" spans="13:14" x14ac:dyDescent="0.25">
      <c r="M20" s="3"/>
      <c r="N20" s="3"/>
    </row>
    <row r="21" spans="13:14" x14ac:dyDescent="0.25">
      <c r="M21" s="3"/>
      <c r="N21" s="3"/>
    </row>
    <row r="22" spans="13:14" x14ac:dyDescent="0.25">
      <c r="M22" s="3"/>
      <c r="N22" s="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Q22"/>
  <sheetViews>
    <sheetView tabSelected="1" zoomScale="75" zoomScaleNormal="75" workbookViewId="0">
      <selection activeCell="O10" sqref="O10:Q11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7" ht="18.75" x14ac:dyDescent="0.3">
      <c r="A4" s="239" t="s">
        <v>89</v>
      </c>
      <c r="B4" s="239"/>
      <c r="C4" s="239"/>
      <c r="D4" s="239"/>
      <c r="E4" s="239"/>
      <c r="F4" s="239"/>
      <c r="G4" s="239"/>
      <c r="H4" s="239"/>
      <c r="I4" s="239"/>
      <c r="J4" s="239"/>
      <c r="K4" s="239"/>
      <c r="L4" s="239"/>
    </row>
    <row r="5" spans="1:17" ht="7.5" customHeight="1" x14ac:dyDescent="0.25"/>
    <row r="6" spans="1:17" ht="17.25" x14ac:dyDescent="0.3">
      <c r="A6" s="189" t="s">
        <v>14</v>
      </c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</row>
    <row r="7" spans="1:17" ht="7.5" customHeight="1" x14ac:dyDescent="0.25"/>
    <row r="8" spans="1:17" s="2" customFormat="1" ht="20.25" customHeight="1" x14ac:dyDescent="0.25">
      <c r="A8" s="240" t="s">
        <v>52</v>
      </c>
      <c r="B8" s="241" t="s">
        <v>47</v>
      </c>
      <c r="C8" s="242" t="s">
        <v>42</v>
      </c>
      <c r="D8" s="241" t="s">
        <v>53</v>
      </c>
      <c r="E8" s="244" t="s">
        <v>54</v>
      </c>
      <c r="F8" s="246" t="s">
        <v>55</v>
      </c>
      <c r="G8" s="247"/>
      <c r="H8" s="247"/>
      <c r="I8" s="248"/>
      <c r="J8" s="249" t="s">
        <v>56</v>
      </c>
      <c r="K8" s="240" t="s">
        <v>57</v>
      </c>
      <c r="L8" s="240"/>
      <c r="M8" s="60"/>
      <c r="N8" s="60"/>
    </row>
    <row r="9" spans="1:17" s="2" customFormat="1" ht="27.75" customHeight="1" thickBot="1" x14ac:dyDescent="0.3">
      <c r="A9" s="240"/>
      <c r="B9" s="241"/>
      <c r="C9" s="243"/>
      <c r="D9" s="241"/>
      <c r="E9" s="245"/>
      <c r="F9" s="61" t="s">
        <v>58</v>
      </c>
      <c r="G9" s="61" t="s">
        <v>59</v>
      </c>
      <c r="H9" s="61" t="s">
        <v>60</v>
      </c>
      <c r="I9" s="62" t="s">
        <v>61</v>
      </c>
      <c r="J9" s="250"/>
      <c r="K9" s="63" t="s">
        <v>62</v>
      </c>
      <c r="L9" s="63" t="s">
        <v>63</v>
      </c>
      <c r="M9" s="64" t="s">
        <v>64</v>
      </c>
      <c r="N9" s="64" t="s">
        <v>65</v>
      </c>
    </row>
    <row r="10" spans="1:17" s="3" customFormat="1" ht="30" customHeight="1" thickBot="1" x14ac:dyDescent="0.3">
      <c r="A10" s="65">
        <v>1</v>
      </c>
      <c r="B10" s="66" t="s">
        <v>29</v>
      </c>
      <c r="C10" s="67">
        <v>13</v>
      </c>
      <c r="D10" s="67">
        <v>44</v>
      </c>
      <c r="E10" s="68">
        <f>D10</f>
        <v>44</v>
      </c>
      <c r="F10" s="105">
        <v>39.71</v>
      </c>
      <c r="G10" s="78">
        <f>(42.82+40.23+39.99+41.23+39.97+40.44+42.05+39.9+40.02+39.91+41.67+39.96+39.92+44.26+40.84+40.38+39.88+40.06+39.88+39.8+40.08+39.95+40.38+40.13+40.02+39.93+39.86+39.98+39.83+39.88+39.71+39.94+40.2+40.26+41.05+40.22+40.26+39.93+39.94+39.83+40.25+39.81+40.01+41.19)/44</f>
        <v>40.360227272727279</v>
      </c>
      <c r="H10" s="69">
        <v>3</v>
      </c>
      <c r="I10" s="71">
        <f>G10-F10</f>
        <v>0.6502272727272782</v>
      </c>
      <c r="J10" s="72">
        <v>2.0543981481481479E-2</v>
      </c>
      <c r="K10" s="72">
        <f>J10</f>
        <v>2.0543981481481479E-2</v>
      </c>
      <c r="L10" s="73">
        <f>K10</f>
        <v>2.0543981481481479E-2</v>
      </c>
      <c r="M10" s="74" t="s">
        <v>130</v>
      </c>
      <c r="N10" s="75"/>
      <c r="O10" s="266" t="s">
        <v>170</v>
      </c>
      <c r="P10" s="267"/>
      <c r="Q10" s="268"/>
    </row>
    <row r="11" spans="1:17" s="3" customFormat="1" ht="30" customHeight="1" thickBot="1" x14ac:dyDescent="0.3">
      <c r="A11" s="65">
        <v>2</v>
      </c>
      <c r="B11" s="66" t="s">
        <v>94</v>
      </c>
      <c r="C11" s="67">
        <v>33</v>
      </c>
      <c r="D11" s="67">
        <v>68</v>
      </c>
      <c r="E11" s="68">
        <f>D11-D10</f>
        <v>24</v>
      </c>
      <c r="F11" s="183">
        <v>40</v>
      </c>
      <c r="G11" s="122">
        <f>(40.5+40.41+40.32+40.42+40.43+40.87+40.23+40.54+40.19+40.17+40.47+40.49+40+40.19+40.59+40.27+40.1+40.38+40.38+40.34+40.25+40.32+40.58)/23</f>
        <v>40.366956521739141</v>
      </c>
      <c r="H11" s="69">
        <v>1</v>
      </c>
      <c r="I11" s="71">
        <f>G11-F11</f>
        <v>0.36695652173914084</v>
      </c>
      <c r="J11" s="72">
        <v>3.2951388888888891E-2</v>
      </c>
      <c r="K11" s="72">
        <f>J11-J10</f>
        <v>1.2407407407407412E-2</v>
      </c>
      <c r="L11" s="73">
        <f>K11</f>
        <v>1.2407407407407412E-2</v>
      </c>
      <c r="M11" s="74" t="s">
        <v>131</v>
      </c>
      <c r="N11" s="75"/>
      <c r="O11" s="269"/>
      <c r="P11" s="270"/>
      <c r="Q11" s="271"/>
    </row>
    <row r="12" spans="1:17" s="3" customFormat="1" ht="30" customHeight="1" x14ac:dyDescent="0.25">
      <c r="A12" s="65">
        <v>3</v>
      </c>
      <c r="B12" s="66" t="s">
        <v>94</v>
      </c>
      <c r="C12" s="116">
        <v>6</v>
      </c>
      <c r="D12" s="67">
        <v>121</v>
      </c>
      <c r="E12" s="68">
        <f>D12-D11</f>
        <v>53</v>
      </c>
      <c r="F12" s="128">
        <v>40.06</v>
      </c>
      <c r="G12" s="70">
        <f>(40.59+40.53+40.43+40.43+40.22+40.41+40.38+40.75+40.28+40.54+40.46+40.52+40.44+40.19+40.39+40.31+40.21+40.21+40.32+41.06+40.27+40.2+40.2+40.2+40.44+40.25+40.18+40.28+40.36+40.23+40.14+40.29+40.29+40.25+40.27+40.31+40.27+40.23+40.06+40.53+40.2+40.13+40.08+40.31+40.43+40.96+40.19+40.25+40.14+40.53+40.18+40.11)/52</f>
        <v>40.335192307692324</v>
      </c>
      <c r="H12" s="69">
        <v>5</v>
      </c>
      <c r="I12" s="71">
        <f>G12-F12</f>
        <v>0.27519230769232195</v>
      </c>
      <c r="J12" s="72">
        <v>5.8680555555555548E-2</v>
      </c>
      <c r="K12" s="72">
        <f>J12-J11</f>
        <v>2.5729166666666657E-2</v>
      </c>
      <c r="L12" s="72">
        <f>K12+K11</f>
        <v>3.8136574074074073E-2</v>
      </c>
      <c r="M12" s="74" t="s">
        <v>154</v>
      </c>
      <c r="N12" s="75"/>
      <c r="O12" s="22"/>
    </row>
    <row r="13" spans="1:17" s="3" customFormat="1" ht="30" customHeight="1" thickBot="1" x14ac:dyDescent="0.3">
      <c r="A13" s="125" t="s">
        <v>67</v>
      </c>
      <c r="B13" s="80" t="s">
        <v>29</v>
      </c>
      <c r="C13" s="81">
        <v>7</v>
      </c>
      <c r="D13" s="81">
        <v>172</v>
      </c>
      <c r="E13" s="68">
        <f>D13-D12</f>
        <v>51</v>
      </c>
      <c r="F13" s="117">
        <v>39.9</v>
      </c>
      <c r="G13" s="83">
        <f>(40.69+40.69+40.46+40.38+41.04+40.5+40.3+40.42+40.55+40.14+40.56+40.43+40.15+40.18+40.2+40.15+40.04+40.3+40.21+40.1+40.16+40.09+39.97+39.99+40.03+39.97+39.9+40+40.19+40.42+40.04+40.05+40.23+40.16+42.59+41.78+42.7+41.56+40.34+43.45+40.73+42.42+42.3+40.66+45+42.03+42.33+42.56+45.34+40.3)/50</f>
        <v>40.895600000000002</v>
      </c>
      <c r="H13" s="84">
        <v>4</v>
      </c>
      <c r="I13" s="85">
        <f>G13-F13</f>
        <v>0.99560000000000315</v>
      </c>
      <c r="J13" s="126">
        <v>8.3912037037037035E-2</v>
      </c>
      <c r="K13" s="108">
        <f>J13-J12</f>
        <v>2.5231481481481487E-2</v>
      </c>
      <c r="L13" s="126">
        <f>K13+K10</f>
        <v>4.5775462962962962E-2</v>
      </c>
      <c r="M13" s="74"/>
      <c r="N13" s="75"/>
    </row>
    <row r="14" spans="1:17" s="3" customFormat="1" ht="30" customHeight="1" x14ac:dyDescent="0.25">
      <c r="A14" s="87"/>
      <c r="B14" s="88"/>
      <c r="C14" s="89"/>
      <c r="D14" s="89"/>
      <c r="E14" s="89"/>
      <c r="F14" s="124">
        <f>AVERAGE(F10,F13)</f>
        <v>39.805</v>
      </c>
      <c r="G14" s="91">
        <f>AVERAGE(G10,G13)</f>
        <v>40.627913636363644</v>
      </c>
      <c r="H14" s="91" t="s">
        <v>79</v>
      </c>
      <c r="I14" s="92">
        <f>AVERAGE(I10,I13)</f>
        <v>0.82291363636364068</v>
      </c>
      <c r="J14" s="89"/>
      <c r="K14" s="89"/>
      <c r="L14" s="89"/>
      <c r="M14" s="93"/>
      <c r="N14" s="93"/>
    </row>
    <row r="15" spans="1:17" ht="27.75" customHeight="1" x14ac:dyDescent="0.25">
      <c r="A15" s="94"/>
      <c r="B15" s="94"/>
      <c r="C15" s="94"/>
      <c r="D15" s="95"/>
      <c r="E15" s="96"/>
      <c r="F15" s="97">
        <f>AVERAGE(F11,F12)</f>
        <v>40.03</v>
      </c>
      <c r="G15" s="98">
        <f>AVERAGE(G11,G12)</f>
        <v>40.351074414715733</v>
      </c>
      <c r="H15" s="98" t="s">
        <v>82</v>
      </c>
      <c r="I15" s="99">
        <f>AVERAGE(I11,I12)</f>
        <v>0.32107441471573139</v>
      </c>
      <c r="J15" s="96"/>
      <c r="K15" s="96" t="s">
        <v>32</v>
      </c>
      <c r="L15" s="96"/>
      <c r="M15" s="93"/>
      <c r="N15" s="93"/>
    </row>
    <row r="16" spans="1:17" ht="30" customHeight="1" thickBot="1" x14ac:dyDescent="0.3">
      <c r="A16" s="100"/>
      <c r="B16" s="100"/>
      <c r="C16" s="100"/>
      <c r="D16" s="96"/>
      <c r="E16" s="96"/>
      <c r="F16" s="101">
        <f>AVERAGE(F10:F13)</f>
        <v>39.917500000000004</v>
      </c>
      <c r="G16" s="102">
        <f>AVERAGE(G10:G13)</f>
        <v>40.489494025539685</v>
      </c>
      <c r="H16" s="103"/>
      <c r="I16" s="104">
        <f>AVERAGE(I10:I13)</f>
        <v>0.57199402553968604</v>
      </c>
      <c r="J16" s="96"/>
      <c r="K16" s="96"/>
      <c r="L16" s="96"/>
      <c r="M16" s="100"/>
      <c r="N16" s="100"/>
    </row>
    <row r="19" spans="13:14" x14ac:dyDescent="0.25">
      <c r="M19" s="2"/>
      <c r="N19" s="2"/>
    </row>
    <row r="20" spans="13:14" x14ac:dyDescent="0.25">
      <c r="M20" s="3"/>
      <c r="N20" s="3"/>
    </row>
    <row r="21" spans="13:14" x14ac:dyDescent="0.25">
      <c r="M21" s="3"/>
      <c r="N21" s="3"/>
    </row>
    <row r="22" spans="13:14" x14ac:dyDescent="0.25">
      <c r="M22" s="3"/>
      <c r="N22" s="3"/>
    </row>
  </sheetData>
  <mergeCells count="11">
    <mergeCell ref="O10:Q11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Q22"/>
  <sheetViews>
    <sheetView zoomScale="75" zoomScaleNormal="75" workbookViewId="0">
      <selection activeCell="O10" sqref="O10:Q11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7" ht="18.75" x14ac:dyDescent="0.3">
      <c r="A4" s="239" t="s">
        <v>89</v>
      </c>
      <c r="B4" s="239"/>
      <c r="C4" s="239"/>
      <c r="D4" s="239"/>
      <c r="E4" s="239"/>
      <c r="F4" s="239"/>
      <c r="G4" s="239"/>
      <c r="H4" s="239"/>
      <c r="I4" s="239"/>
      <c r="J4" s="239"/>
      <c r="K4" s="239"/>
      <c r="L4" s="239"/>
    </row>
    <row r="5" spans="1:17" ht="7.5" customHeight="1" x14ac:dyDescent="0.25"/>
    <row r="6" spans="1:17" ht="17.25" x14ac:dyDescent="0.3">
      <c r="A6" s="189" t="s">
        <v>95</v>
      </c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</row>
    <row r="7" spans="1:17" ht="7.5" customHeight="1" x14ac:dyDescent="0.25"/>
    <row r="8" spans="1:17" s="2" customFormat="1" ht="20.25" customHeight="1" x14ac:dyDescent="0.25">
      <c r="A8" s="240" t="s">
        <v>52</v>
      </c>
      <c r="B8" s="241" t="s">
        <v>47</v>
      </c>
      <c r="C8" s="242" t="s">
        <v>42</v>
      </c>
      <c r="D8" s="241" t="s">
        <v>53</v>
      </c>
      <c r="E8" s="244" t="s">
        <v>54</v>
      </c>
      <c r="F8" s="246" t="s">
        <v>55</v>
      </c>
      <c r="G8" s="247"/>
      <c r="H8" s="247"/>
      <c r="I8" s="248"/>
      <c r="J8" s="249" t="s">
        <v>56</v>
      </c>
      <c r="K8" s="240" t="s">
        <v>57</v>
      </c>
      <c r="L8" s="240"/>
      <c r="M8" s="60"/>
      <c r="N8" s="60"/>
    </row>
    <row r="9" spans="1:17" s="2" customFormat="1" ht="27.75" customHeight="1" thickBot="1" x14ac:dyDescent="0.3">
      <c r="A9" s="240"/>
      <c r="B9" s="241"/>
      <c r="C9" s="243"/>
      <c r="D9" s="241"/>
      <c r="E9" s="245"/>
      <c r="F9" s="61" t="s">
        <v>58</v>
      </c>
      <c r="G9" s="61" t="s">
        <v>59</v>
      </c>
      <c r="H9" s="61" t="s">
        <v>60</v>
      </c>
      <c r="I9" s="62" t="s">
        <v>61</v>
      </c>
      <c r="J9" s="250"/>
      <c r="K9" s="63" t="s">
        <v>62</v>
      </c>
      <c r="L9" s="63" t="s">
        <v>63</v>
      </c>
      <c r="M9" s="64" t="s">
        <v>64</v>
      </c>
      <c r="N9" s="64" t="s">
        <v>65</v>
      </c>
    </row>
    <row r="10" spans="1:17" s="3" customFormat="1" ht="30" customHeight="1" thickBot="1" x14ac:dyDescent="0.3">
      <c r="A10" s="65">
        <v>1</v>
      </c>
      <c r="B10" s="66" t="s">
        <v>96</v>
      </c>
      <c r="C10" s="67">
        <v>4</v>
      </c>
      <c r="D10" s="67">
        <v>44</v>
      </c>
      <c r="E10" s="68">
        <f>D10</f>
        <v>44</v>
      </c>
      <c r="F10" s="77">
        <v>39.72</v>
      </c>
      <c r="G10" s="78">
        <f>(44.79+44.41+42.13+39.82+41.47+39.85+39.89+39.74+41.41+40+39.82+40.1+40.3+39.93+39.88+39.83+39.95+40.11+39.72+39.89+39.78+39.99+40.44+39.77+39.86+41.06+41.62+40.18+40.14+39.92+40.03+40.41+40.2+40.26+41.05+40.22+40.26+39.93+39.94+39.83+40.25+39.81+40.01+41.19)/44</f>
        <v>40.436136363636372</v>
      </c>
      <c r="H10" s="69">
        <v>6</v>
      </c>
      <c r="I10" s="71">
        <f>G10-F10</f>
        <v>0.71613636363637312</v>
      </c>
      <c r="J10" s="72">
        <v>2.0636574074074075E-2</v>
      </c>
      <c r="K10" s="72">
        <f>J10</f>
        <v>2.0636574074074075E-2</v>
      </c>
      <c r="L10" s="73">
        <f>K10</f>
        <v>2.0636574074074075E-2</v>
      </c>
      <c r="M10" s="74" t="s">
        <v>132</v>
      </c>
      <c r="N10" s="265"/>
      <c r="O10" s="266" t="s">
        <v>170</v>
      </c>
      <c r="P10" s="267"/>
      <c r="Q10" s="268"/>
    </row>
    <row r="11" spans="1:17" s="3" customFormat="1" ht="30" customHeight="1" thickBot="1" x14ac:dyDescent="0.3">
      <c r="A11" s="65">
        <v>2</v>
      </c>
      <c r="B11" s="66" t="s">
        <v>73</v>
      </c>
      <c r="C11" s="67">
        <v>5</v>
      </c>
      <c r="D11" s="67">
        <v>70</v>
      </c>
      <c r="E11" s="68">
        <f>D11-D10</f>
        <v>26</v>
      </c>
      <c r="F11" s="187">
        <v>40.11</v>
      </c>
      <c r="G11" s="76">
        <f>(40.59+40.74+41.61+40.67+40.78+40.44+40.28+40.34+40.26+40.26+40.27+40.29+40.15+40.34+40.38+40.3+40.11+40.37+40.48+40.37+40.37+40.26+40.81+40.44+40.32)/25</f>
        <v>40.449200000000005</v>
      </c>
      <c r="H11" s="69">
        <v>2</v>
      </c>
      <c r="I11" s="71">
        <f>G11-F11</f>
        <v>0.33920000000000528</v>
      </c>
      <c r="J11" s="72">
        <v>3.3958333333333333E-2</v>
      </c>
      <c r="K11" s="72">
        <f>J11-J10</f>
        <v>1.3321759259259259E-2</v>
      </c>
      <c r="L11" s="73">
        <f>K11</f>
        <v>1.3321759259259259E-2</v>
      </c>
      <c r="M11" s="74" t="s">
        <v>133</v>
      </c>
      <c r="N11" s="265"/>
      <c r="O11" s="269"/>
      <c r="P11" s="270"/>
      <c r="Q11" s="271"/>
    </row>
    <row r="12" spans="1:17" s="3" customFormat="1" ht="30" customHeight="1" thickBot="1" x14ac:dyDescent="0.3">
      <c r="A12" s="65">
        <v>3</v>
      </c>
      <c r="B12" s="66" t="s">
        <v>96</v>
      </c>
      <c r="C12" s="116">
        <v>33</v>
      </c>
      <c r="D12" s="67">
        <v>124</v>
      </c>
      <c r="E12" s="68">
        <f>D12-D11</f>
        <v>54</v>
      </c>
      <c r="F12" s="84">
        <v>39.83</v>
      </c>
      <c r="G12" s="70">
        <f>(40.54+40.21+40.26+40.33+40.18+40.37+41.5+40.22+41.19+40+39.83+40.58+40.05+40.28+40.09+40.06+40.88+41.82+40.15+40.13+39.99+40.08+40.08+40.67+40.78+41.1+40.71+40.24+40.18+40.3+43.09+41.29+40.07+39.97+39.99+40.09+40.09+40.04+40.2+39.94+39.99+40.52+43.43+40.72+40.22+40.1+40.35+40.11+40.37+40.36+40.39+40.5+40.6)/53</f>
        <v>40.476037735849047</v>
      </c>
      <c r="H12" s="69">
        <v>0</v>
      </c>
      <c r="I12" s="71">
        <f>G12-F12</f>
        <v>0.646037735849049</v>
      </c>
      <c r="J12" s="72">
        <v>6.0324074074074079E-2</v>
      </c>
      <c r="K12" s="72">
        <f>J12-J11</f>
        <v>2.6365740740740745E-2</v>
      </c>
      <c r="L12" s="72">
        <f>K12+K10</f>
        <v>4.7002314814814816E-2</v>
      </c>
      <c r="M12" s="74" t="s">
        <v>166</v>
      </c>
      <c r="N12" s="75">
        <v>5</v>
      </c>
      <c r="O12" s="180" t="s">
        <v>167</v>
      </c>
    </row>
    <row r="13" spans="1:17" s="3" customFormat="1" ht="30" customHeight="1" thickBot="1" x14ac:dyDescent="0.3">
      <c r="A13" s="125" t="s">
        <v>67</v>
      </c>
      <c r="B13" s="80" t="s">
        <v>73</v>
      </c>
      <c r="C13" s="81">
        <v>6</v>
      </c>
      <c r="D13" s="81">
        <v>172</v>
      </c>
      <c r="E13" s="68">
        <f>D13-D12</f>
        <v>48</v>
      </c>
      <c r="F13" s="82">
        <v>39.840000000000003</v>
      </c>
      <c r="G13" s="78">
        <f>(40.29+40.13+40.27+40.25+40.28+40.11+40.17+39.9+40.03+40.03+39.84+39.86+42.54+41.66+41.74+41.12+41.58+40.01+40.05+40.05+40.29+40.35+40.1+40.1+40+40.93+40.77+39.99+39.91+40.06+39.99+40.05+40.19+39.92+40.22+40.22+40.09+40.04+40.09+40.23+40.23+40.01+40.43+40.23+40.11+40.04+40.08)/47</f>
        <v>40.310212765957438</v>
      </c>
      <c r="H13" s="69">
        <v>4</v>
      </c>
      <c r="I13" s="85">
        <f>G13-F13</f>
        <v>0.47021276595743444</v>
      </c>
      <c r="J13" s="126">
        <v>8.3923611111111115E-2</v>
      </c>
      <c r="K13" s="108">
        <f>J13-J12</f>
        <v>2.3599537037037037E-2</v>
      </c>
      <c r="L13" s="126">
        <f>K13+K11</f>
        <v>3.6921296296296299E-2</v>
      </c>
      <c r="M13" s="74"/>
      <c r="N13" s="75">
        <v>5</v>
      </c>
      <c r="O13" s="180" t="s">
        <v>152</v>
      </c>
    </row>
    <row r="14" spans="1:17" s="3" customFormat="1" ht="30" customHeight="1" x14ac:dyDescent="0.25">
      <c r="A14" s="87"/>
      <c r="B14" s="88"/>
      <c r="C14" s="89"/>
      <c r="D14" s="89"/>
      <c r="E14" s="89"/>
      <c r="F14" s="90">
        <f>AVERAGE(F10,F12)</f>
        <v>39.774999999999999</v>
      </c>
      <c r="G14" s="106">
        <f>AVERAGE(G10,G12)</f>
        <v>40.456087049742706</v>
      </c>
      <c r="H14" s="106" t="s">
        <v>155</v>
      </c>
      <c r="I14" s="92">
        <f>AVERAGE(I10,I12)</f>
        <v>0.68108704974271106</v>
      </c>
      <c r="J14" s="89"/>
      <c r="K14" s="89"/>
      <c r="L14" s="89"/>
      <c r="M14" s="93"/>
      <c r="N14" s="93"/>
    </row>
    <row r="15" spans="1:17" ht="27.75" customHeight="1" x14ac:dyDescent="0.25">
      <c r="A15" s="94"/>
      <c r="B15" s="94"/>
      <c r="C15" s="94"/>
      <c r="D15" s="95"/>
      <c r="E15" s="96"/>
      <c r="F15" s="97">
        <f>AVERAGE(F11,F13)</f>
        <v>39.975000000000001</v>
      </c>
      <c r="G15" s="98">
        <f>AVERAGE(G11,G13)</f>
        <v>40.379706382978725</v>
      </c>
      <c r="H15" s="98" t="s">
        <v>82</v>
      </c>
      <c r="I15" s="99">
        <f>AVERAGE(I11,I13)</f>
        <v>0.40470638297871986</v>
      </c>
      <c r="J15" s="96"/>
      <c r="K15" s="96" t="s">
        <v>32</v>
      </c>
      <c r="L15" s="96"/>
      <c r="M15" s="93"/>
      <c r="N15" s="93"/>
    </row>
    <row r="16" spans="1:17" ht="30" customHeight="1" thickBot="1" x14ac:dyDescent="0.3">
      <c r="A16" s="100"/>
      <c r="B16" s="100"/>
      <c r="C16" s="100"/>
      <c r="D16" s="96"/>
      <c r="E16" s="96"/>
      <c r="F16" s="101">
        <f>AVERAGE(F10:F13)</f>
        <v>39.875</v>
      </c>
      <c r="G16" s="102">
        <f>AVERAGE(G10:G13)</f>
        <v>40.417896716360715</v>
      </c>
      <c r="H16" s="103"/>
      <c r="I16" s="104">
        <f>AVERAGE(I10:I13)</f>
        <v>0.54289671636071546</v>
      </c>
      <c r="J16" s="96"/>
      <c r="K16" s="96"/>
      <c r="L16" s="96"/>
      <c r="M16" s="100"/>
      <c r="N16" s="100"/>
    </row>
    <row r="19" spans="13:14" x14ac:dyDescent="0.25">
      <c r="M19" s="2"/>
      <c r="N19" s="2"/>
    </row>
    <row r="20" spans="13:14" x14ac:dyDescent="0.25">
      <c r="M20" s="3"/>
      <c r="N20" s="3"/>
    </row>
    <row r="21" spans="13:14" x14ac:dyDescent="0.25">
      <c r="M21" s="3"/>
      <c r="N21" s="3"/>
    </row>
    <row r="22" spans="13:14" x14ac:dyDescent="0.25">
      <c r="M22" s="3"/>
      <c r="N22" s="3"/>
    </row>
  </sheetData>
  <mergeCells count="11">
    <mergeCell ref="O10:Q11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O14" sqref="O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9" t="s">
        <v>89</v>
      </c>
      <c r="B4" s="239"/>
      <c r="C4" s="239"/>
      <c r="D4" s="239"/>
      <c r="E4" s="239"/>
      <c r="F4" s="239"/>
      <c r="G4" s="239"/>
      <c r="H4" s="239"/>
      <c r="I4" s="239"/>
      <c r="J4" s="239"/>
      <c r="K4" s="239"/>
      <c r="L4" s="239"/>
    </row>
    <row r="5" spans="1:16" ht="7.5" customHeight="1" x14ac:dyDescent="0.25"/>
    <row r="6" spans="1:16" ht="17.25" x14ac:dyDescent="0.3">
      <c r="A6" s="189" t="s">
        <v>119</v>
      </c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</row>
    <row r="7" spans="1:16" ht="7.5" customHeight="1" x14ac:dyDescent="0.25"/>
    <row r="8" spans="1:16" s="2" customFormat="1" ht="20.25" customHeight="1" x14ac:dyDescent="0.25">
      <c r="A8" s="240" t="s">
        <v>52</v>
      </c>
      <c r="B8" s="241" t="s">
        <v>47</v>
      </c>
      <c r="C8" s="242" t="s">
        <v>42</v>
      </c>
      <c r="D8" s="241" t="s">
        <v>53</v>
      </c>
      <c r="E8" s="244" t="s">
        <v>54</v>
      </c>
      <c r="F8" s="246" t="s">
        <v>55</v>
      </c>
      <c r="G8" s="247"/>
      <c r="H8" s="247"/>
      <c r="I8" s="248"/>
      <c r="J8" s="249" t="s">
        <v>56</v>
      </c>
      <c r="K8" s="240" t="s">
        <v>57</v>
      </c>
      <c r="L8" s="240"/>
      <c r="M8" s="60"/>
      <c r="N8" s="60"/>
    </row>
    <row r="9" spans="1:16" s="2" customFormat="1" ht="27.75" customHeight="1" thickBot="1" x14ac:dyDescent="0.3">
      <c r="A9" s="240"/>
      <c r="B9" s="241"/>
      <c r="C9" s="243"/>
      <c r="D9" s="241"/>
      <c r="E9" s="245"/>
      <c r="F9" s="61" t="s">
        <v>58</v>
      </c>
      <c r="G9" s="61" t="s">
        <v>59</v>
      </c>
      <c r="H9" s="61" t="s">
        <v>60</v>
      </c>
      <c r="I9" s="62" t="s">
        <v>61</v>
      </c>
      <c r="J9" s="250"/>
      <c r="K9" s="63" t="s">
        <v>62</v>
      </c>
      <c r="L9" s="63" t="s">
        <v>63</v>
      </c>
      <c r="M9" s="64" t="s">
        <v>64</v>
      </c>
      <c r="N9" s="64" t="s">
        <v>65</v>
      </c>
    </row>
    <row r="10" spans="1:16" s="3" customFormat="1" ht="30" customHeight="1" thickBot="1" x14ac:dyDescent="0.3">
      <c r="A10" s="65">
        <v>1</v>
      </c>
      <c r="B10" s="66" t="s">
        <v>120</v>
      </c>
      <c r="C10" s="67">
        <v>3</v>
      </c>
      <c r="D10" s="67">
        <v>22</v>
      </c>
      <c r="E10" s="68">
        <f>D10</f>
        <v>22</v>
      </c>
      <c r="F10" s="184">
        <v>39.89</v>
      </c>
      <c r="G10" s="78">
        <f>(44.34+42.39+40.15+41.53+40.21+40.01+40.17+39.99+40.06+40.01+40.24+40.01+39.89+40.5+40.56+40.01+39.91+39.91+40.06+39.91+40.23+40.12)/22</f>
        <v>40.464090909090899</v>
      </c>
      <c r="H10" s="69">
        <v>4</v>
      </c>
      <c r="I10" s="71">
        <f>G10-F10</f>
        <v>0.57409090909089855</v>
      </c>
      <c r="J10" s="152">
        <v>1.037037037037037E-2</v>
      </c>
      <c r="K10" s="72">
        <f>J10</f>
        <v>1.037037037037037E-2</v>
      </c>
      <c r="L10" s="73">
        <f>K10</f>
        <v>1.037037037037037E-2</v>
      </c>
      <c r="M10" s="74" t="s">
        <v>139</v>
      </c>
      <c r="N10" s="75">
        <v>5</v>
      </c>
      <c r="O10" s="153" t="s">
        <v>125</v>
      </c>
      <c r="P10" s="115"/>
    </row>
    <row r="11" spans="1:16" s="3" customFormat="1" ht="30" customHeight="1" thickBot="1" x14ac:dyDescent="0.3">
      <c r="A11" s="65">
        <v>2</v>
      </c>
      <c r="B11" s="66" t="s">
        <v>118</v>
      </c>
      <c r="C11" s="67">
        <v>8</v>
      </c>
      <c r="D11" s="67">
        <v>67</v>
      </c>
      <c r="E11" s="68">
        <f>D11-D10</f>
        <v>45</v>
      </c>
      <c r="F11" s="123">
        <v>39.92</v>
      </c>
      <c r="G11" s="122">
        <f>(40.32+40.07+40.08+40.19+40.47+40.29+40.37+40.13+40.4+40.4+40.06+40.19+40.2+40.18+40.03+40.16+39.92+40.01+39.94+40.14+40.12+40.26+40.31+40.01+40.32+40.21+40.35+40.44+40.21+40.43+40.35+40.16+40.48+41.1+40.05+40.98+40.38+40.3+40.47+40.09+40.3+40.24+40.3+40.4)/44</f>
        <v>40.268409090909081</v>
      </c>
      <c r="H11" s="69">
        <v>3</v>
      </c>
      <c r="I11" s="71">
        <f>G11-F11</f>
        <v>0.34840909090907957</v>
      </c>
      <c r="J11" s="72">
        <v>3.2499999999999994E-2</v>
      </c>
      <c r="K11" s="72">
        <f>J11-J10</f>
        <v>2.2129629629629624E-2</v>
      </c>
      <c r="L11" s="73">
        <f>K11</f>
        <v>2.2129629629629624E-2</v>
      </c>
      <c r="M11" s="74" t="s">
        <v>140</v>
      </c>
      <c r="N11" s="75"/>
      <c r="O11" s="114"/>
      <c r="P11" s="115"/>
    </row>
    <row r="12" spans="1:16" s="3" customFormat="1" ht="30" customHeight="1" x14ac:dyDescent="0.25">
      <c r="A12" s="65">
        <v>3</v>
      </c>
      <c r="B12" s="66" t="s">
        <v>120</v>
      </c>
      <c r="C12" s="116">
        <v>13</v>
      </c>
      <c r="D12" s="67">
        <v>120</v>
      </c>
      <c r="E12" s="68">
        <f>D12-D11</f>
        <v>53</v>
      </c>
      <c r="F12" s="127">
        <v>40.01</v>
      </c>
      <c r="G12" s="70">
        <f>(40.62+40.6+40.23+40.13+40.24+40.44+40.3+40.11+40.3+40.21+40.35+40.35+40.19+40.01+40.08+40.25+40.94+40.3+40.32+40.3+40.71+40.3+40.38+40.42+40.99+40.35+40.14+40.31+40.16+41.85+43.28+40.4+40.35+40.5+40.27+40.35+40.01+40.13+40.2+40.36+40.28+40.36+40.47+40.18+40.24+40.32+40.35+40.36+40.32+40.22+40.2+40.16)/52</f>
        <v>40.407499999999992</v>
      </c>
      <c r="H12" s="69">
        <v>3</v>
      </c>
      <c r="I12" s="71">
        <f>G12-F12</f>
        <v>0.39749999999999375</v>
      </c>
      <c r="J12" s="72">
        <v>5.8391203703703702E-2</v>
      </c>
      <c r="K12" s="72">
        <f>J12-J11</f>
        <v>2.5891203703703708E-2</v>
      </c>
      <c r="L12" s="72">
        <f>K12+K10</f>
        <v>3.6261574074074078E-2</v>
      </c>
      <c r="M12" s="74" t="s">
        <v>87</v>
      </c>
      <c r="N12" s="75"/>
      <c r="O12" s="22"/>
    </row>
    <row r="13" spans="1:16" s="3" customFormat="1" ht="30" customHeight="1" thickBot="1" x14ac:dyDescent="0.3">
      <c r="A13" s="125" t="s">
        <v>67</v>
      </c>
      <c r="B13" s="80" t="s">
        <v>118</v>
      </c>
      <c r="C13" s="81">
        <v>2</v>
      </c>
      <c r="D13" s="81">
        <v>172</v>
      </c>
      <c r="E13" s="68">
        <f>D13-D12</f>
        <v>52</v>
      </c>
      <c r="F13" s="154">
        <v>39.99</v>
      </c>
      <c r="G13" s="70">
        <f>(40.32+40.25+40.25+40.43+40.44+40.17+40.17+40.22+40.13+40.05+40.69+40.26+40.76+40.08+40.38+40.39+40+42.24+41.37+40.2+40+40.16+40.21+41.25+41.03+40.17+40.42+40.24+40.4+41.1+40.41+40.48+40.62+40.16+40.13+39.99+40.04+40.01+40.11+40.28+40.36+40.11+40.31+39.99+41+43.25+41.82+42.68+42.06+41.72+41.99)/51</f>
        <v>40.613725490196074</v>
      </c>
      <c r="H13" s="69">
        <v>6</v>
      </c>
      <c r="I13" s="85">
        <f>G13-F13</f>
        <v>0.62372549019607249</v>
      </c>
      <c r="J13" s="126">
        <v>8.3888888888888888E-2</v>
      </c>
      <c r="K13" s="108">
        <f>J13-J12</f>
        <v>2.5497685185185186E-2</v>
      </c>
      <c r="L13" s="126">
        <f>K13+K11</f>
        <v>4.762731481481481E-2</v>
      </c>
      <c r="M13" s="74"/>
      <c r="N13" s="75">
        <v>10</v>
      </c>
      <c r="O13" s="264" t="s">
        <v>169</v>
      </c>
    </row>
    <row r="14" spans="1:16" s="3" customFormat="1" ht="30" customHeight="1" x14ac:dyDescent="0.25">
      <c r="A14" s="87"/>
      <c r="B14" s="88"/>
      <c r="C14" s="89"/>
      <c r="D14" s="89"/>
      <c r="E14" s="89"/>
      <c r="F14" s="90">
        <f>AVERAGE(F10,F12)</f>
        <v>39.950000000000003</v>
      </c>
      <c r="G14" s="106">
        <f>AVERAGE(G10,G12)</f>
        <v>40.435795454545442</v>
      </c>
      <c r="H14" s="106" t="s">
        <v>81</v>
      </c>
      <c r="I14" s="92">
        <f>AVERAGE(I10,I12)</f>
        <v>0.48579545454544615</v>
      </c>
      <c r="J14" s="89"/>
      <c r="K14" s="89"/>
      <c r="L14" s="89"/>
      <c r="M14" s="93"/>
      <c r="N14" s="93"/>
    </row>
    <row r="15" spans="1:16" ht="27.75" customHeight="1" x14ac:dyDescent="0.25">
      <c r="A15" s="94"/>
      <c r="B15" s="94"/>
      <c r="C15" s="94"/>
      <c r="D15" s="95"/>
      <c r="E15" s="96"/>
      <c r="F15" s="97">
        <f>AVERAGE(F11,F13)</f>
        <v>39.954999999999998</v>
      </c>
      <c r="G15" s="98">
        <f>AVERAGE(G11,G13)</f>
        <v>40.441067290552581</v>
      </c>
      <c r="H15" s="98" t="s">
        <v>80</v>
      </c>
      <c r="I15" s="99">
        <f>AVERAGE(I11,I13)</f>
        <v>0.48606729055257603</v>
      </c>
      <c r="J15" s="96"/>
      <c r="K15" s="96" t="s">
        <v>32</v>
      </c>
      <c r="L15" s="96"/>
      <c r="M15" s="93"/>
      <c r="N15" s="93"/>
    </row>
    <row r="16" spans="1:16" ht="30" customHeight="1" thickBot="1" x14ac:dyDescent="0.3">
      <c r="A16" s="100"/>
      <c r="B16" s="100"/>
      <c r="C16" s="100"/>
      <c r="D16" s="96"/>
      <c r="E16" s="96"/>
      <c r="F16" s="101">
        <f>AVERAGE(F10:F13)</f>
        <v>39.952500000000001</v>
      </c>
      <c r="G16" s="102">
        <f>AVERAGE(G10:G13)</f>
        <v>40.438431372549019</v>
      </c>
      <c r="H16" s="103"/>
      <c r="I16" s="104">
        <f>AVERAGE(I10:I13)</f>
        <v>0.48593137254901109</v>
      </c>
      <c r="J16" s="96"/>
      <c r="K16" s="96"/>
      <c r="L16" s="96"/>
      <c r="M16" s="100"/>
      <c r="N16" s="100"/>
    </row>
    <row r="19" spans="13:14" x14ac:dyDescent="0.25">
      <c r="M19" s="2"/>
      <c r="N19" s="2"/>
    </row>
    <row r="20" spans="13:14" x14ac:dyDescent="0.25">
      <c r="M20" s="3"/>
      <c r="N20" s="3"/>
    </row>
    <row r="21" spans="13:14" x14ac:dyDescent="0.25">
      <c r="M21" s="3"/>
      <c r="N21" s="3"/>
    </row>
    <row r="22" spans="13:14" x14ac:dyDescent="0.25">
      <c r="M22" s="3"/>
      <c r="N22" s="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I14" activeCellId="1" sqref="F14:F15 I14:I15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9" t="s">
        <v>89</v>
      </c>
      <c r="B4" s="239"/>
      <c r="C4" s="239"/>
      <c r="D4" s="239"/>
      <c r="E4" s="239"/>
      <c r="F4" s="239"/>
      <c r="G4" s="239"/>
      <c r="H4" s="239"/>
      <c r="I4" s="239"/>
      <c r="J4" s="239"/>
      <c r="K4" s="239"/>
      <c r="L4" s="239"/>
    </row>
    <row r="5" spans="1:16" ht="7.5" customHeight="1" x14ac:dyDescent="0.25"/>
    <row r="6" spans="1:16" ht="17.25" x14ac:dyDescent="0.3">
      <c r="A6" s="189" t="s">
        <v>111</v>
      </c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</row>
    <row r="7" spans="1:16" ht="7.5" customHeight="1" x14ac:dyDescent="0.25"/>
    <row r="8" spans="1:16" s="2" customFormat="1" ht="20.25" customHeight="1" x14ac:dyDescent="0.25">
      <c r="A8" s="240" t="s">
        <v>52</v>
      </c>
      <c r="B8" s="241" t="s">
        <v>47</v>
      </c>
      <c r="C8" s="242" t="s">
        <v>42</v>
      </c>
      <c r="D8" s="241" t="s">
        <v>53</v>
      </c>
      <c r="E8" s="244" t="s">
        <v>54</v>
      </c>
      <c r="F8" s="246" t="s">
        <v>55</v>
      </c>
      <c r="G8" s="247"/>
      <c r="H8" s="247"/>
      <c r="I8" s="248"/>
      <c r="J8" s="249" t="s">
        <v>56</v>
      </c>
      <c r="K8" s="240" t="s">
        <v>57</v>
      </c>
      <c r="L8" s="240"/>
      <c r="M8" s="60"/>
      <c r="N8" s="60"/>
    </row>
    <row r="9" spans="1:16" s="2" customFormat="1" ht="27.75" customHeight="1" x14ac:dyDescent="0.25">
      <c r="A9" s="240"/>
      <c r="B9" s="241"/>
      <c r="C9" s="243"/>
      <c r="D9" s="241"/>
      <c r="E9" s="245"/>
      <c r="F9" s="61" t="s">
        <v>58</v>
      </c>
      <c r="G9" s="61" t="s">
        <v>59</v>
      </c>
      <c r="H9" s="61" t="s">
        <v>60</v>
      </c>
      <c r="I9" s="62" t="s">
        <v>61</v>
      </c>
      <c r="J9" s="250"/>
      <c r="K9" s="63" t="s">
        <v>62</v>
      </c>
      <c r="L9" s="63" t="s">
        <v>63</v>
      </c>
      <c r="M9" s="64" t="s">
        <v>64</v>
      </c>
      <c r="N9" s="64" t="s">
        <v>65</v>
      </c>
    </row>
    <row r="10" spans="1:16" s="3" customFormat="1" ht="30" customHeight="1" x14ac:dyDescent="0.25">
      <c r="A10" s="65">
        <v>1</v>
      </c>
      <c r="B10" s="66" t="s">
        <v>112</v>
      </c>
      <c r="C10" s="67">
        <v>10</v>
      </c>
      <c r="D10" s="67">
        <v>44</v>
      </c>
      <c r="E10" s="68">
        <f>D10</f>
        <v>44</v>
      </c>
      <c r="F10" s="69">
        <v>39.79</v>
      </c>
      <c r="G10" s="70">
        <f>(42.42+40.25+40.09+40.17+40+40.43+43.25+40.14+40.27+39.93+39.79+40.15+40.19+40.04+40.14+40.01+40.09+40.18+40.41+40.09+40.05+40.04+39.93+40.27+40.23+40.31+39.91+40.17+40.03+40.17+40.06+40.05+39.93+40.03+40.05+40.05+40.01+40.14+40.15+40.49+39.96+40.23+40.51+40.07)/44</f>
        <v>40.247272727272723</v>
      </c>
      <c r="H10" s="69">
        <v>0</v>
      </c>
      <c r="I10" s="71">
        <f>G10-F10</f>
        <v>0.4572727272727235</v>
      </c>
      <c r="J10" s="72">
        <v>2.0543981481481479E-2</v>
      </c>
      <c r="K10" s="72">
        <f>J10</f>
        <v>2.0543981481481479E-2</v>
      </c>
      <c r="L10" s="73">
        <f>K10</f>
        <v>2.0543981481481479E-2</v>
      </c>
      <c r="M10" s="74" t="s">
        <v>134</v>
      </c>
      <c r="N10" s="75">
        <v>-48</v>
      </c>
      <c r="O10" s="153" t="s">
        <v>66</v>
      </c>
      <c r="P10" s="115"/>
    </row>
    <row r="11" spans="1:16" s="3" customFormat="1" ht="30" customHeight="1" x14ac:dyDescent="0.25">
      <c r="A11" s="65">
        <v>2</v>
      </c>
      <c r="B11" s="66" t="s">
        <v>112</v>
      </c>
      <c r="C11" s="67">
        <v>2</v>
      </c>
      <c r="D11" s="67">
        <v>73</v>
      </c>
      <c r="E11" s="68">
        <f>D11-D10</f>
        <v>29</v>
      </c>
      <c r="F11" s="107">
        <v>40.21</v>
      </c>
      <c r="G11" s="76">
        <f>(40.69+40.52+40.59+40.51+40.62+40.43+40.44+40.31+40.21+40.43+40.27+40.33+40.51+40.47+40.27+40.54+40.56+40.51+40.35+40.5+40.47+40.4+40.54+40.36+40.39+40.38+40.64+40.75)/28</f>
        <v>40.463928571428582</v>
      </c>
      <c r="H11" s="69">
        <v>3</v>
      </c>
      <c r="I11" s="71">
        <f>G11-F11</f>
        <v>0.25392857142858105</v>
      </c>
      <c r="J11" s="72">
        <v>3.4791666666666672E-2</v>
      </c>
      <c r="K11" s="72">
        <f>J11-J10</f>
        <v>1.4247685185185193E-2</v>
      </c>
      <c r="L11" s="72">
        <f>K11+K10</f>
        <v>3.4791666666666672E-2</v>
      </c>
      <c r="M11" s="74" t="s">
        <v>135</v>
      </c>
      <c r="N11" s="75">
        <v>10</v>
      </c>
      <c r="O11" s="153" t="s">
        <v>136</v>
      </c>
      <c r="P11" s="115"/>
    </row>
    <row r="12" spans="1:16" s="3" customFormat="1" ht="30" customHeight="1" x14ac:dyDescent="0.25">
      <c r="A12" s="65">
        <v>3</v>
      </c>
      <c r="B12" s="66" t="s">
        <v>113</v>
      </c>
      <c r="C12" s="116">
        <v>21</v>
      </c>
      <c r="D12" s="67">
        <v>132</v>
      </c>
      <c r="E12" s="68">
        <f>D12-D11</f>
        <v>59</v>
      </c>
      <c r="F12" s="69">
        <v>40.090000000000003</v>
      </c>
      <c r="G12" s="70">
        <f>(40.78+40.554+40.5+40.4+40.62+40.44+40.56+40.21+40.34+40.45+40.45+40.64+40.38+40.52+40.38+40.49+40.35+40.41+40.39+41.03+40.21+40.26+40.43+40.18+42.24+43.39+40.58+40.18+42.15+40.36+40.23+40.38+40.22+40.11+40.31+40.23+40.24+40.28+40.09+40.7+44.24+40.83+40.65+40.59+40.24+40.45+40.29+40.16+40.29+40.2+40.39+40.6+42.2+41.47+40.96+40.43+40.31+40.72)/58</f>
        <v>40.649724137931017</v>
      </c>
      <c r="H12" s="69">
        <v>4</v>
      </c>
      <c r="I12" s="71">
        <f>G12-F12</f>
        <v>0.55972413793101339</v>
      </c>
      <c r="J12" s="72">
        <v>6.3657407407407399E-2</v>
      </c>
      <c r="K12" s="72">
        <f>J12-J11</f>
        <v>2.8865740740740727E-2</v>
      </c>
      <c r="L12" s="73">
        <f>K12</f>
        <v>2.8865740740740727E-2</v>
      </c>
      <c r="M12" s="74" t="s">
        <v>156</v>
      </c>
      <c r="N12" s="75"/>
      <c r="O12" s="22"/>
    </row>
    <row r="13" spans="1:16" s="3" customFormat="1" ht="30" customHeight="1" thickBot="1" x14ac:dyDescent="0.3">
      <c r="A13" s="125" t="s">
        <v>67</v>
      </c>
      <c r="B13" s="80" t="s">
        <v>113</v>
      </c>
      <c r="C13" s="81">
        <v>4</v>
      </c>
      <c r="D13" s="81">
        <v>172</v>
      </c>
      <c r="E13" s="68">
        <f>D13-D12</f>
        <v>40</v>
      </c>
      <c r="F13" s="154">
        <v>40.35</v>
      </c>
      <c r="G13" s="70">
        <f>(40.76+40.62+40.63+40.48+40.42+42.47+41.75+41.71+41.18+42.28+40.71+40.46+40.6+40.38+40.66+40.48+41+40.55+40.77+40.48+40.46+40.35+40.36+42.72+41.91+42.77+41.23+40.52+43.04+41.25+42.44+42.98+42.24+42.72+42.11+42.01+41.97+41.07+40.84)/39</f>
        <v>41.317435897435892</v>
      </c>
      <c r="H13" s="69">
        <v>3</v>
      </c>
      <c r="I13" s="85">
        <f>G13-F13</f>
        <v>0.96743589743589098</v>
      </c>
      <c r="J13" s="126">
        <v>8.4027777777777771E-2</v>
      </c>
      <c r="K13" s="108">
        <f>J13-J12</f>
        <v>2.0370370370370372E-2</v>
      </c>
      <c r="L13" s="126">
        <f>K13+K12</f>
        <v>4.9236111111111099E-2</v>
      </c>
      <c r="M13" s="74"/>
      <c r="N13" s="75">
        <v>15</v>
      </c>
      <c r="O13" s="180" t="s">
        <v>168</v>
      </c>
    </row>
    <row r="14" spans="1:16" s="3" customFormat="1" ht="30" customHeight="1" x14ac:dyDescent="0.25">
      <c r="A14" s="87"/>
      <c r="B14" s="88"/>
      <c r="C14" s="89"/>
      <c r="D14" s="89"/>
      <c r="E14" s="89"/>
      <c r="F14" s="90">
        <f>AVERAGE(F10,F11)</f>
        <v>40</v>
      </c>
      <c r="G14" s="106">
        <f>AVERAGE(G10,G11)</f>
        <v>40.355600649350649</v>
      </c>
      <c r="H14" s="106" t="s">
        <v>82</v>
      </c>
      <c r="I14" s="92">
        <f>AVERAGE(I10,I11)</f>
        <v>0.35560064935065228</v>
      </c>
      <c r="J14" s="89"/>
      <c r="K14" s="89"/>
      <c r="L14" s="89"/>
      <c r="M14" s="93"/>
      <c r="N14" s="93"/>
    </row>
    <row r="15" spans="1:16" ht="27.75" customHeight="1" x14ac:dyDescent="0.25">
      <c r="A15" s="94"/>
      <c r="B15" s="94"/>
      <c r="C15" s="94"/>
      <c r="D15" s="95"/>
      <c r="E15" s="96"/>
      <c r="F15" s="97">
        <f>AVERAGE(F12,F13)</f>
        <v>40.22</v>
      </c>
      <c r="G15" s="98">
        <f>AVERAGE(G12,G13)</f>
        <v>40.983580017683451</v>
      </c>
      <c r="H15" s="98" t="s">
        <v>77</v>
      </c>
      <c r="I15" s="99">
        <f>AVERAGE(I12,I13)</f>
        <v>0.76358001768345218</v>
      </c>
      <c r="J15" s="96"/>
      <c r="K15" s="96" t="s">
        <v>32</v>
      </c>
      <c r="L15" s="96"/>
      <c r="M15" s="93"/>
      <c r="N15" s="93"/>
    </row>
    <row r="16" spans="1:16" ht="30" customHeight="1" thickBot="1" x14ac:dyDescent="0.3">
      <c r="A16" s="100"/>
      <c r="B16" s="100"/>
      <c r="C16" s="100"/>
      <c r="D16" s="96"/>
      <c r="E16" s="96"/>
      <c r="F16" s="101">
        <f>AVERAGE(F10:F13)</f>
        <v>40.11</v>
      </c>
      <c r="G16" s="102">
        <f>AVERAGE(G10:G13)</f>
        <v>40.66959033351705</v>
      </c>
      <c r="H16" s="103"/>
      <c r="I16" s="104">
        <f>AVERAGE(I10:I13)</f>
        <v>0.55959033351705223</v>
      </c>
      <c r="J16" s="96"/>
      <c r="K16" s="96"/>
      <c r="L16" s="96"/>
      <c r="M16" s="100"/>
      <c r="N16" s="100"/>
    </row>
    <row r="19" spans="13:14" x14ac:dyDescent="0.25">
      <c r="M19" s="2"/>
      <c r="N19" s="2"/>
    </row>
    <row r="20" spans="13:14" x14ac:dyDescent="0.25">
      <c r="M20" s="3"/>
      <c r="N20" s="3"/>
    </row>
    <row r="21" spans="13:14" x14ac:dyDescent="0.25">
      <c r="M21" s="3"/>
      <c r="N21" s="3"/>
    </row>
    <row r="22" spans="13:14" x14ac:dyDescent="0.25">
      <c r="M22" s="3"/>
      <c r="N22" s="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L12" sqref="L1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9" t="s">
        <v>89</v>
      </c>
      <c r="B4" s="239"/>
      <c r="C4" s="239"/>
      <c r="D4" s="239"/>
      <c r="E4" s="239"/>
      <c r="F4" s="239"/>
      <c r="G4" s="239"/>
      <c r="H4" s="239"/>
      <c r="I4" s="239"/>
      <c r="J4" s="239"/>
      <c r="K4" s="239"/>
      <c r="L4" s="239"/>
    </row>
    <row r="5" spans="1:16" ht="7.5" customHeight="1" x14ac:dyDescent="0.25"/>
    <row r="6" spans="1:16" ht="17.25" x14ac:dyDescent="0.3">
      <c r="A6" s="189" t="s">
        <v>116</v>
      </c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</row>
    <row r="7" spans="1:16" ht="7.5" customHeight="1" x14ac:dyDescent="0.25"/>
    <row r="8" spans="1:16" s="2" customFormat="1" ht="20.25" customHeight="1" x14ac:dyDescent="0.25">
      <c r="A8" s="240" t="s">
        <v>52</v>
      </c>
      <c r="B8" s="241" t="s">
        <v>47</v>
      </c>
      <c r="C8" s="242" t="s">
        <v>42</v>
      </c>
      <c r="D8" s="241" t="s">
        <v>53</v>
      </c>
      <c r="E8" s="244" t="s">
        <v>54</v>
      </c>
      <c r="F8" s="246" t="s">
        <v>55</v>
      </c>
      <c r="G8" s="247"/>
      <c r="H8" s="247"/>
      <c r="I8" s="248"/>
      <c r="J8" s="249" t="s">
        <v>56</v>
      </c>
      <c r="K8" s="240" t="s">
        <v>57</v>
      </c>
      <c r="L8" s="240"/>
      <c r="M8" s="60"/>
      <c r="N8" s="60"/>
    </row>
    <row r="9" spans="1:16" s="2" customFormat="1" ht="27.75" customHeight="1" thickBot="1" x14ac:dyDescent="0.3">
      <c r="A9" s="240"/>
      <c r="B9" s="241"/>
      <c r="C9" s="243"/>
      <c r="D9" s="241"/>
      <c r="E9" s="245"/>
      <c r="F9" s="61" t="s">
        <v>58</v>
      </c>
      <c r="G9" s="61" t="s">
        <v>59</v>
      </c>
      <c r="H9" s="61" t="s">
        <v>60</v>
      </c>
      <c r="I9" s="62" t="s">
        <v>61</v>
      </c>
      <c r="J9" s="250"/>
      <c r="K9" s="63" t="s">
        <v>62</v>
      </c>
      <c r="L9" s="63" t="s">
        <v>63</v>
      </c>
      <c r="M9" s="64" t="s">
        <v>64</v>
      </c>
      <c r="N9" s="64" t="s">
        <v>65</v>
      </c>
    </row>
    <row r="10" spans="1:16" s="3" customFormat="1" ht="30" customHeight="1" thickBot="1" x14ac:dyDescent="0.3">
      <c r="A10" s="65">
        <v>1</v>
      </c>
      <c r="B10" s="66" t="s">
        <v>123</v>
      </c>
      <c r="C10" s="67">
        <v>2</v>
      </c>
      <c r="D10" s="67">
        <v>24</v>
      </c>
      <c r="E10" s="68">
        <f>D10</f>
        <v>24</v>
      </c>
      <c r="F10" s="77">
        <v>40.07</v>
      </c>
      <c r="G10" s="78">
        <f>(43.97+43.52+40.43+42.44+42.21+41.4+40.32+40.27+40.07+40.17+40.37+40.28+40.75+40.51+40.35+40.25+41.04+41.44+40.73+40.55+40.23+40.71+40.31+41.68)/24</f>
        <v>40.999999999999993</v>
      </c>
      <c r="H10" s="69">
        <v>1</v>
      </c>
      <c r="I10" s="71">
        <f>G10-F10</f>
        <v>0.92999999999999261</v>
      </c>
      <c r="J10" s="72">
        <v>1.1446759259259261E-2</v>
      </c>
      <c r="K10" s="72">
        <f>J10</f>
        <v>1.1446759259259261E-2</v>
      </c>
      <c r="L10" s="73">
        <f>K10</f>
        <v>1.1446759259259261E-2</v>
      </c>
      <c r="M10" s="74" t="s">
        <v>143</v>
      </c>
      <c r="N10" s="75">
        <v>-12</v>
      </c>
      <c r="O10" s="153" t="s">
        <v>66</v>
      </c>
      <c r="P10" s="115"/>
    </row>
    <row r="11" spans="1:16" s="3" customFormat="1" ht="30" customHeight="1" thickBot="1" x14ac:dyDescent="0.3">
      <c r="A11" s="65">
        <v>2</v>
      </c>
      <c r="B11" s="66" t="s">
        <v>126</v>
      </c>
      <c r="C11" s="67">
        <v>3</v>
      </c>
      <c r="D11" s="67">
        <v>68</v>
      </c>
      <c r="E11" s="68">
        <f>D11-D10</f>
        <v>44</v>
      </c>
      <c r="F11" s="123">
        <v>40.130000000000003</v>
      </c>
      <c r="G11" s="122">
        <f>(40.96+40.66+40.44+40.44+40.61+40.33+40.75+41.01+40.16+41.34+40.77+40.23+40.18+40.54+40.19+40.21+40.24+40.76+40.45+40.4+40.13+40.24+40.68+42.13+41.01+40.33+40.34+40.39+40.32+40.14+40.31+40.19+40.43+40.31+40.51+40.76+41.38+40.2+40.84+40.44+40.59+40.55+40.86)/43</f>
        <v>40.552325581395344</v>
      </c>
      <c r="H11" s="69">
        <v>7</v>
      </c>
      <c r="I11" s="71">
        <f>G11-F11</f>
        <v>0.42232558139534149</v>
      </c>
      <c r="J11" s="72">
        <v>3.3067129629629634E-2</v>
      </c>
      <c r="K11" s="72">
        <f>J11-J10</f>
        <v>2.1620370370370373E-2</v>
      </c>
      <c r="L11" s="73">
        <f>K11</f>
        <v>2.1620370370370373E-2</v>
      </c>
      <c r="M11" s="74" t="s">
        <v>86</v>
      </c>
      <c r="N11" s="75"/>
      <c r="O11" s="114"/>
      <c r="P11" s="115"/>
    </row>
    <row r="12" spans="1:16" s="3" customFormat="1" ht="30" customHeight="1" x14ac:dyDescent="0.25">
      <c r="A12" s="65">
        <v>3</v>
      </c>
      <c r="B12" s="66" t="s">
        <v>123</v>
      </c>
      <c r="C12" s="116">
        <v>8</v>
      </c>
      <c r="D12" s="67">
        <v>130</v>
      </c>
      <c r="E12" s="68">
        <f>D12-D11</f>
        <v>62</v>
      </c>
      <c r="F12" s="127">
        <v>40.19</v>
      </c>
      <c r="G12" s="70">
        <f>(40.65+41.14+40.57+40.64+40.35+40.33+40.69+40.61+40.55+40.45+40.62+40.56+40.64+40.66+40.91+40.19+40.69+40.67+40.75+40.41+40.32+40.47+40.6+40.95+41.1+41.06+40.63+40.81+41.09+40.62+40.88+40.33+40.36+40.66+40.42+41.17+43.4+42.35+40.5+40.59+40.68+40.61+40.88+40.69+40.55+41.15+41.43+40.66+41.27+40.52+40.36+40.42+40.29+40.38+40.56+41.03+40.44+40.36+40.77+40.5+40.89)/61</f>
        <v>40.734918032786901</v>
      </c>
      <c r="H12" s="69">
        <v>1</v>
      </c>
      <c r="I12" s="71">
        <f>G12-F12</f>
        <v>0.54491803278690298</v>
      </c>
      <c r="J12" s="72">
        <v>6.3414351851851847E-2</v>
      </c>
      <c r="K12" s="72">
        <f>J12-J11</f>
        <v>3.0347222222222213E-2</v>
      </c>
      <c r="L12" s="72">
        <f>K12+K10</f>
        <v>4.1793981481481474E-2</v>
      </c>
      <c r="M12" s="74" t="s">
        <v>88</v>
      </c>
      <c r="N12" s="75"/>
      <c r="O12" s="22"/>
    </row>
    <row r="13" spans="1:16" s="3" customFormat="1" ht="30" customHeight="1" thickBot="1" x14ac:dyDescent="0.3">
      <c r="A13" s="79" t="s">
        <v>67</v>
      </c>
      <c r="B13" s="80" t="s">
        <v>126</v>
      </c>
      <c r="C13" s="81">
        <v>33</v>
      </c>
      <c r="D13" s="81">
        <v>171</v>
      </c>
      <c r="E13" s="68">
        <f>D13-D12</f>
        <v>41</v>
      </c>
      <c r="F13" s="154">
        <v>40.229999999999997</v>
      </c>
      <c r="G13" s="70">
        <f>(40.92+40.63+40.72+40.56+40.53+40.51+40.42+40.45+40.69+40.63+40.55+40.67+40.64+40.36+40.5+40.64+40.64+40.23+40.31+40.51+40.46+40.54+40.54+40.46+40.38+40.48+40.34+40.53+40.43+40.32+40.34+41.56+42.3+40.84+40.72+41.67+40.45+40.43+40.57+41.12)/40</f>
        <v>40.639749999999992</v>
      </c>
      <c r="H13" s="69">
        <v>2</v>
      </c>
      <c r="I13" s="85">
        <f>G13-F13</f>
        <v>0.4097499999999954</v>
      </c>
      <c r="J13" s="86">
        <v>8.3761574074074072E-2</v>
      </c>
      <c r="K13" s="108">
        <f>J13-J12</f>
        <v>2.0347222222222225E-2</v>
      </c>
      <c r="L13" s="86">
        <f>K13+K11</f>
        <v>4.1967592592592598E-2</v>
      </c>
      <c r="M13" s="74"/>
      <c r="N13" s="75"/>
    </row>
    <row r="14" spans="1:16" s="3" customFormat="1" ht="30" customHeight="1" x14ac:dyDescent="0.25">
      <c r="A14" s="87"/>
      <c r="B14" s="88"/>
      <c r="C14" s="89"/>
      <c r="D14" s="89"/>
      <c r="E14" s="89"/>
      <c r="F14" s="90">
        <f>AVERAGE(F10,F12)</f>
        <v>40.129999999999995</v>
      </c>
      <c r="G14" s="106">
        <f>AVERAGE(G10,G12)</f>
        <v>40.867459016393447</v>
      </c>
      <c r="H14" s="106" t="s">
        <v>127</v>
      </c>
      <c r="I14" s="92">
        <f>AVERAGE(I10,I12)</f>
        <v>0.7374590163934478</v>
      </c>
      <c r="J14" s="89"/>
      <c r="K14" s="89"/>
      <c r="L14" s="89"/>
      <c r="M14" s="93"/>
      <c r="N14" s="93"/>
    </row>
    <row r="15" spans="1:16" ht="27.75" customHeight="1" x14ac:dyDescent="0.25">
      <c r="A15" s="94"/>
      <c r="B15" s="94"/>
      <c r="C15" s="94"/>
      <c r="D15" s="95"/>
      <c r="E15" s="96"/>
      <c r="F15" s="97">
        <f>AVERAGE(F11,F13)</f>
        <v>40.18</v>
      </c>
      <c r="G15" s="98">
        <f>AVERAGE(G11,G13)</f>
        <v>40.596037790697665</v>
      </c>
      <c r="H15" s="98" t="s">
        <v>83</v>
      </c>
      <c r="I15" s="99">
        <f>AVERAGE(I11,I13)</f>
        <v>0.41603779069766844</v>
      </c>
      <c r="J15" s="96"/>
      <c r="K15" s="96" t="s">
        <v>32</v>
      </c>
      <c r="L15" s="96"/>
      <c r="M15" s="93"/>
      <c r="N15" s="93"/>
    </row>
    <row r="16" spans="1:16" ht="30" customHeight="1" thickBot="1" x14ac:dyDescent="0.3">
      <c r="A16" s="100"/>
      <c r="B16" s="100"/>
      <c r="C16" s="100"/>
      <c r="D16" s="96"/>
      <c r="E16" s="96"/>
      <c r="F16" s="101">
        <f>AVERAGE(F10:F13)</f>
        <v>40.155000000000001</v>
      </c>
      <c r="G16" s="102">
        <f>AVERAGE(G10:G13)</f>
        <v>40.731748403545559</v>
      </c>
      <c r="H16" s="103"/>
      <c r="I16" s="104">
        <f>AVERAGE(I10:I13)</f>
        <v>0.57674840354555812</v>
      </c>
      <c r="J16" s="96"/>
      <c r="K16" s="96"/>
      <c r="L16" s="96"/>
      <c r="M16" s="100"/>
      <c r="N16" s="100"/>
    </row>
    <row r="19" spans="13:14" x14ac:dyDescent="0.25">
      <c r="M19" s="2"/>
      <c r="N19" s="2"/>
    </row>
    <row r="20" spans="13:14" x14ac:dyDescent="0.25">
      <c r="M20" s="3"/>
      <c r="N20" s="3"/>
    </row>
    <row r="21" spans="13:14" x14ac:dyDescent="0.25">
      <c r="M21" s="3"/>
      <c r="N21" s="3"/>
    </row>
    <row r="22" spans="13:14" x14ac:dyDescent="0.25">
      <c r="M22" s="3"/>
      <c r="N22" s="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L12" sqref="L1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9" t="s">
        <v>89</v>
      </c>
      <c r="B4" s="239"/>
      <c r="C4" s="239"/>
      <c r="D4" s="239"/>
      <c r="E4" s="239"/>
      <c r="F4" s="239"/>
      <c r="G4" s="239"/>
      <c r="H4" s="239"/>
      <c r="I4" s="239"/>
      <c r="J4" s="239"/>
      <c r="K4" s="239"/>
      <c r="L4" s="239"/>
    </row>
    <row r="5" spans="1:16" ht="7.5" customHeight="1" x14ac:dyDescent="0.25"/>
    <row r="6" spans="1:16" ht="17.25" x14ac:dyDescent="0.3">
      <c r="A6" s="189" t="s">
        <v>124</v>
      </c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</row>
    <row r="7" spans="1:16" ht="7.5" customHeight="1" x14ac:dyDescent="0.25"/>
    <row r="8" spans="1:16" s="2" customFormat="1" ht="20.25" customHeight="1" x14ac:dyDescent="0.25">
      <c r="A8" s="240" t="s">
        <v>52</v>
      </c>
      <c r="B8" s="241" t="s">
        <v>47</v>
      </c>
      <c r="C8" s="242" t="s">
        <v>42</v>
      </c>
      <c r="D8" s="241" t="s">
        <v>53</v>
      </c>
      <c r="E8" s="244" t="s">
        <v>54</v>
      </c>
      <c r="F8" s="246" t="s">
        <v>55</v>
      </c>
      <c r="G8" s="247"/>
      <c r="H8" s="247"/>
      <c r="I8" s="248"/>
      <c r="J8" s="249" t="s">
        <v>56</v>
      </c>
      <c r="K8" s="240" t="s">
        <v>57</v>
      </c>
      <c r="L8" s="240"/>
      <c r="M8" s="60"/>
      <c r="N8" s="60"/>
    </row>
    <row r="9" spans="1:16" s="2" customFormat="1" ht="27.75" customHeight="1" thickBot="1" x14ac:dyDescent="0.3">
      <c r="A9" s="240"/>
      <c r="B9" s="241"/>
      <c r="C9" s="243"/>
      <c r="D9" s="241"/>
      <c r="E9" s="245"/>
      <c r="F9" s="61" t="s">
        <v>58</v>
      </c>
      <c r="G9" s="61" t="s">
        <v>59</v>
      </c>
      <c r="H9" s="61" t="s">
        <v>60</v>
      </c>
      <c r="I9" s="62" t="s">
        <v>61</v>
      </c>
      <c r="J9" s="250"/>
      <c r="K9" s="63" t="s">
        <v>62</v>
      </c>
      <c r="L9" s="63" t="s">
        <v>63</v>
      </c>
      <c r="M9" s="64" t="s">
        <v>64</v>
      </c>
      <c r="N9" s="64" t="s">
        <v>65</v>
      </c>
    </row>
    <row r="10" spans="1:16" s="3" customFormat="1" ht="30" customHeight="1" thickBot="1" x14ac:dyDescent="0.3">
      <c r="A10" s="65">
        <v>1</v>
      </c>
      <c r="B10" s="66" t="s">
        <v>25</v>
      </c>
      <c r="C10" s="67">
        <v>69</v>
      </c>
      <c r="D10" s="67">
        <v>23</v>
      </c>
      <c r="E10" s="68">
        <f>D10</f>
        <v>23</v>
      </c>
      <c r="F10" s="105">
        <v>39.99</v>
      </c>
      <c r="G10" s="78">
        <f>(45.19+42.41+40.95+40.97+42.61+41.39+40.43+40.34+39.99+40.05+41+40.5+40.3+40.24+40.2+40.21+41.15+40.54+40.46+40.57+40.57+40.56+40.93)/23</f>
        <v>40.937391304347827</v>
      </c>
      <c r="H10" s="69">
        <v>1</v>
      </c>
      <c r="I10" s="71">
        <f>G10-F10</f>
        <v>0.94739130434782481</v>
      </c>
      <c r="J10" s="72">
        <v>1.0960648148148148E-2</v>
      </c>
      <c r="K10" s="72">
        <f>J10</f>
        <v>1.0960648148148148E-2</v>
      </c>
      <c r="L10" s="73">
        <f>K10</f>
        <v>1.0960648148148148E-2</v>
      </c>
      <c r="M10" s="74" t="s">
        <v>141</v>
      </c>
      <c r="N10" s="75"/>
      <c r="O10" s="114"/>
      <c r="P10" s="115"/>
    </row>
    <row r="11" spans="1:16" s="3" customFormat="1" ht="30" customHeight="1" thickBot="1" x14ac:dyDescent="0.3">
      <c r="A11" s="65">
        <v>2</v>
      </c>
      <c r="B11" s="66" t="s">
        <v>106</v>
      </c>
      <c r="C11" s="67">
        <v>1</v>
      </c>
      <c r="D11" s="67">
        <v>70</v>
      </c>
      <c r="E11" s="68">
        <f>D11-D10</f>
        <v>47</v>
      </c>
      <c r="F11" s="183">
        <v>40.1</v>
      </c>
      <c r="G11" s="122">
        <f>(40.52+40.18+41.53+40.46+40.26+40.33+40.36+40.18+40.1+40.22+40.27+40.3+40.12+40.19+40.19+40.83+40.44+40.2+40.19+40.22+41.92+40.5+40.22+40.42+40.44+40.16+40.33+40.62+40.99+40.22+40.95+40.61+40.62+40.42+40.46+40.94+40.55+40.24+40.35+40.55+40.53+40.42+40.35+41.17+40.63+41.04)/46</f>
        <v>40.494347826086958</v>
      </c>
      <c r="H11" s="69">
        <v>6</v>
      </c>
      <c r="I11" s="71">
        <f>G11-F11</f>
        <v>0.39434782608695684</v>
      </c>
      <c r="J11" s="72">
        <v>3.4143518518518517E-2</v>
      </c>
      <c r="K11" s="72">
        <f>J11-J10</f>
        <v>2.3182870370370368E-2</v>
      </c>
      <c r="L11" s="73">
        <f>K11</f>
        <v>2.3182870370370368E-2</v>
      </c>
      <c r="M11" s="74" t="s">
        <v>142</v>
      </c>
      <c r="N11" s="75"/>
      <c r="O11" s="114"/>
      <c r="P11" s="115"/>
    </row>
    <row r="12" spans="1:16" s="3" customFormat="1" ht="30" customHeight="1" x14ac:dyDescent="0.25">
      <c r="A12" s="65">
        <v>3</v>
      </c>
      <c r="B12" s="66" t="s">
        <v>25</v>
      </c>
      <c r="C12" s="116">
        <v>3</v>
      </c>
      <c r="D12" s="67">
        <v>123</v>
      </c>
      <c r="E12" s="68">
        <f>D12-D11</f>
        <v>53</v>
      </c>
      <c r="F12" s="185">
        <v>40.200000000000003</v>
      </c>
      <c r="G12" s="70">
        <f>(41.13+41.21+40.68+41.13+40.78+40.47+40.97+40.86+40.57+41.04+40.45+40.45+40.8+40.63+40.67+40.61+40.25+40.41+40.26+40.65+40.2+40.42+40.63+40.57+40.6+40.68+40.32+40.57+40.56+40.71+40.5+40.38+40.62+40.34+40.74+40.6+41.38+40.42+40.48+40.86+40.65+40.5+40.44+40.87+40.5+41.14+40.74+40.87+40.76+40.48+40.39+40.86)/52</f>
        <v>40.649999999999991</v>
      </c>
      <c r="H12" s="69">
        <v>2</v>
      </c>
      <c r="I12" s="71">
        <f>G12-F12</f>
        <v>0.44999999999998863</v>
      </c>
      <c r="J12" s="72">
        <v>6.0162037037037042E-2</v>
      </c>
      <c r="K12" s="72">
        <f>J12-J11</f>
        <v>2.6018518518518524E-2</v>
      </c>
      <c r="L12" s="72">
        <f>K12+K10</f>
        <v>3.6979166666666674E-2</v>
      </c>
      <c r="M12" s="74" t="s">
        <v>158</v>
      </c>
      <c r="N12" s="75"/>
      <c r="O12" s="22"/>
    </row>
    <row r="13" spans="1:16" s="3" customFormat="1" ht="30" customHeight="1" thickBot="1" x14ac:dyDescent="0.3">
      <c r="A13" s="125" t="s">
        <v>67</v>
      </c>
      <c r="B13" s="80" t="s">
        <v>106</v>
      </c>
      <c r="C13" s="81">
        <v>13</v>
      </c>
      <c r="D13" s="81">
        <v>171</v>
      </c>
      <c r="E13" s="68">
        <f>D13-D12</f>
        <v>48</v>
      </c>
      <c r="F13" s="117">
        <v>40.31</v>
      </c>
      <c r="G13" s="118">
        <f>(40.93+40.9+40.83+40.93+40.87+40.46+40.76+40.73+40.73+40.71+40.43+41.67+40.9+41.06+41.32+40.6+40.55+40.82+40.59+40.59+40.56+41.58+40.71+40.45+40.31+40.65+40.63+40.71+40.45+40.44+40.8+40.75+40.57+40.62+40.55+41.14+40.42+40.71+40.49+40.46+40.86+40.66+40.34+40.85+40.44+41.38+41.97)/47</f>
        <v>40.763404255319166</v>
      </c>
      <c r="H13" s="84">
        <v>2</v>
      </c>
      <c r="I13" s="85">
        <f>G13-F13</f>
        <v>0.45340425531916395</v>
      </c>
      <c r="J13" s="126">
        <v>8.3900462962962954E-2</v>
      </c>
      <c r="K13" s="108">
        <f>J13-J12</f>
        <v>2.3738425925925913E-2</v>
      </c>
      <c r="L13" s="126">
        <f>K13+K11</f>
        <v>4.692129629629628E-2</v>
      </c>
      <c r="M13" s="74"/>
      <c r="N13" s="75"/>
    </row>
    <row r="14" spans="1:16" s="3" customFormat="1" ht="30" customHeight="1" x14ac:dyDescent="0.25">
      <c r="A14" s="87"/>
      <c r="B14" s="88"/>
      <c r="C14" s="89"/>
      <c r="D14" s="89"/>
      <c r="E14" s="89"/>
      <c r="F14" s="124">
        <f>AVERAGE(F10,F12)</f>
        <v>40.094999999999999</v>
      </c>
      <c r="G14" s="91">
        <f>AVERAGE(G10,G12)</f>
        <v>40.793695652173909</v>
      </c>
      <c r="H14" s="91" t="s">
        <v>77</v>
      </c>
      <c r="I14" s="92">
        <f>AVERAGE(I10,I12)</f>
        <v>0.69869565217390672</v>
      </c>
      <c r="J14" s="89"/>
      <c r="K14" s="89"/>
      <c r="L14" s="89"/>
      <c r="M14" s="93"/>
      <c r="N14" s="93"/>
    </row>
    <row r="15" spans="1:16" ht="27.75" customHeight="1" x14ac:dyDescent="0.25">
      <c r="A15" s="94"/>
      <c r="B15" s="94"/>
      <c r="C15" s="94"/>
      <c r="D15" s="95"/>
      <c r="E15" s="96"/>
      <c r="F15" s="97">
        <f>AVERAGE(F11,F13)</f>
        <v>40.204999999999998</v>
      </c>
      <c r="G15" s="98">
        <f>AVERAGE(G11,G13)</f>
        <v>40.628876040703062</v>
      </c>
      <c r="H15" s="98" t="s">
        <v>82</v>
      </c>
      <c r="I15" s="99">
        <f>AVERAGE(I11,I13)</f>
        <v>0.4238760407030604</v>
      </c>
      <c r="J15" s="96"/>
      <c r="K15" s="96" t="s">
        <v>32</v>
      </c>
      <c r="L15" s="96"/>
      <c r="M15" s="93"/>
      <c r="N15" s="93"/>
    </row>
    <row r="16" spans="1:16" ht="30" customHeight="1" thickBot="1" x14ac:dyDescent="0.3">
      <c r="A16" s="100"/>
      <c r="B16" s="100"/>
      <c r="C16" s="100"/>
      <c r="D16" s="96"/>
      <c r="E16" s="96"/>
      <c r="F16" s="101">
        <f>AVERAGE(F10:F13)</f>
        <v>40.150000000000006</v>
      </c>
      <c r="G16" s="102">
        <f>AVERAGE(G10:G13)</f>
        <v>40.711285846438486</v>
      </c>
      <c r="H16" s="103"/>
      <c r="I16" s="104">
        <f>AVERAGE(I10:I13)</f>
        <v>0.56128584643848356</v>
      </c>
      <c r="J16" s="96"/>
      <c r="K16" s="96"/>
      <c r="L16" s="96"/>
      <c r="M16" s="100"/>
      <c r="N16" s="100"/>
    </row>
    <row r="19" spans="13:14" x14ac:dyDescent="0.25">
      <c r="M19" s="2"/>
      <c r="N19" s="2"/>
    </row>
    <row r="20" spans="13:14" x14ac:dyDescent="0.25">
      <c r="M20" s="3"/>
      <c r="N20" s="3"/>
    </row>
    <row r="21" spans="13:14" x14ac:dyDescent="0.25">
      <c r="M21" s="3"/>
      <c r="N21" s="3"/>
    </row>
    <row r="22" spans="13:14" x14ac:dyDescent="0.25">
      <c r="M22" s="3"/>
      <c r="N22" s="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3"/>
  <sheetViews>
    <sheetView zoomScale="75" zoomScaleNormal="75" workbookViewId="0">
      <selection activeCell="L12" sqref="L1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9" t="s">
        <v>89</v>
      </c>
      <c r="B4" s="239"/>
      <c r="C4" s="239"/>
      <c r="D4" s="239"/>
      <c r="E4" s="239"/>
      <c r="F4" s="239"/>
      <c r="G4" s="239"/>
      <c r="H4" s="239"/>
      <c r="I4" s="239"/>
      <c r="J4" s="239"/>
      <c r="K4" s="239"/>
      <c r="L4" s="239"/>
    </row>
    <row r="5" spans="1:16" ht="7.5" customHeight="1" x14ac:dyDescent="0.25"/>
    <row r="6" spans="1:16" ht="17.25" x14ac:dyDescent="0.3">
      <c r="A6" s="189" t="s">
        <v>110</v>
      </c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</row>
    <row r="7" spans="1:16" ht="7.5" customHeight="1" x14ac:dyDescent="0.25"/>
    <row r="8" spans="1:16" s="2" customFormat="1" ht="20.25" customHeight="1" x14ac:dyDescent="0.25">
      <c r="A8" s="240" t="s">
        <v>52</v>
      </c>
      <c r="B8" s="241" t="s">
        <v>47</v>
      </c>
      <c r="C8" s="242" t="s">
        <v>42</v>
      </c>
      <c r="D8" s="241" t="s">
        <v>53</v>
      </c>
      <c r="E8" s="244" t="s">
        <v>54</v>
      </c>
      <c r="F8" s="246" t="s">
        <v>55</v>
      </c>
      <c r="G8" s="247"/>
      <c r="H8" s="247"/>
      <c r="I8" s="248"/>
      <c r="J8" s="249" t="s">
        <v>56</v>
      </c>
      <c r="K8" s="240" t="s">
        <v>57</v>
      </c>
      <c r="L8" s="240"/>
      <c r="M8" s="60"/>
      <c r="N8" s="60"/>
    </row>
    <row r="9" spans="1:16" s="2" customFormat="1" ht="27.75" customHeight="1" thickBot="1" x14ac:dyDescent="0.3">
      <c r="A9" s="240"/>
      <c r="B9" s="241"/>
      <c r="C9" s="243"/>
      <c r="D9" s="241"/>
      <c r="E9" s="245"/>
      <c r="F9" s="61" t="s">
        <v>58</v>
      </c>
      <c r="G9" s="61" t="s">
        <v>59</v>
      </c>
      <c r="H9" s="61" t="s">
        <v>60</v>
      </c>
      <c r="I9" s="62" t="s">
        <v>61</v>
      </c>
      <c r="J9" s="250"/>
      <c r="K9" s="63" t="s">
        <v>62</v>
      </c>
      <c r="L9" s="63" t="s">
        <v>63</v>
      </c>
      <c r="M9" s="64" t="s">
        <v>64</v>
      </c>
      <c r="N9" s="64" t="s">
        <v>65</v>
      </c>
    </row>
    <row r="10" spans="1:16" s="3" customFormat="1" ht="30" customHeight="1" thickBot="1" x14ac:dyDescent="0.3">
      <c r="A10" s="65">
        <v>1</v>
      </c>
      <c r="B10" s="66" t="s">
        <v>72</v>
      </c>
      <c r="C10" s="67">
        <v>6</v>
      </c>
      <c r="D10" s="67">
        <v>43</v>
      </c>
      <c r="E10" s="68">
        <f>D10</f>
        <v>43</v>
      </c>
      <c r="F10" s="77">
        <v>40.42</v>
      </c>
      <c r="G10" s="78">
        <f>(44.18+43.08+42.37+41.53+41.18+41+41.02+40.73+41.59+40.8+40.89+41.58+40.99+41.33+41.26+41.03+40.94+40.86+40.69+40.9+40.81+41.62+41.07+40.75+41.14+40.89+41.46+40.61+43.01+41.19+41.5+40.59+41.08+41.13+40.78+41.18+41.53+42.04+41.28+40.42+40.86+41.92+42.6)/43</f>
        <v>41.335116279069773</v>
      </c>
      <c r="H10" s="69">
        <v>0</v>
      </c>
      <c r="I10" s="71">
        <f>G10-F10</f>
        <v>0.91511627906977111</v>
      </c>
      <c r="J10" s="72">
        <v>2.0648148148148148E-2</v>
      </c>
      <c r="K10" s="72">
        <f>J10</f>
        <v>2.0648148148148148E-2</v>
      </c>
      <c r="L10" s="73">
        <f>K10</f>
        <v>2.0648148148148148E-2</v>
      </c>
      <c r="M10" s="74" t="s">
        <v>144</v>
      </c>
      <c r="N10" s="75">
        <v>10</v>
      </c>
      <c r="O10" s="153" t="s">
        <v>161</v>
      </c>
      <c r="P10" s="115"/>
    </row>
    <row r="11" spans="1:16" s="3" customFormat="1" ht="30" customHeight="1" thickBot="1" x14ac:dyDescent="0.3">
      <c r="A11" s="65">
        <v>2</v>
      </c>
      <c r="B11" s="66" t="s">
        <v>109</v>
      </c>
      <c r="C11" s="67">
        <v>10</v>
      </c>
      <c r="D11" s="67">
        <v>89</v>
      </c>
      <c r="E11" s="68">
        <f>D11-D10</f>
        <v>46</v>
      </c>
      <c r="F11" s="123">
        <v>40.54</v>
      </c>
      <c r="G11" s="122">
        <f>(42.63+41.11+41.2+41.2+40.54+40.99+42.04+41.07+41.1+41.01+41.06+40.69+41.5+40.91+41.02+41.17+40.84+40.7+40.95+40.93+40.7+40.66+41.33+40.7+41.44+40.99+41.06+41+40.67+41.24+40.69+41.13+41.42+40.71+41.91+40.59+41.21+40.89+40.63+40.74+40.77+40.83+40.58+41.48+42.37)/45</f>
        <v>41.075555555555567</v>
      </c>
      <c r="H11" s="69">
        <v>3</v>
      </c>
      <c r="I11" s="71">
        <f>G11-F11</f>
        <v>0.53555555555556822</v>
      </c>
      <c r="J11" s="72">
        <v>4.3761574074074078E-2</v>
      </c>
      <c r="K11" s="72">
        <f>J11-J10</f>
        <v>2.311342592592593E-2</v>
      </c>
      <c r="L11" s="73">
        <f>K11</f>
        <v>2.311342592592593E-2</v>
      </c>
      <c r="M11" s="74" t="s">
        <v>159</v>
      </c>
      <c r="N11" s="75">
        <v>-12</v>
      </c>
      <c r="O11" s="153" t="s">
        <v>66</v>
      </c>
      <c r="P11" s="115"/>
    </row>
    <row r="12" spans="1:16" s="3" customFormat="1" ht="30" customHeight="1" x14ac:dyDescent="0.25">
      <c r="A12" s="65">
        <v>3</v>
      </c>
      <c r="B12" s="66" t="s">
        <v>72</v>
      </c>
      <c r="C12" s="116">
        <v>1</v>
      </c>
      <c r="D12" s="67">
        <v>128</v>
      </c>
      <c r="E12" s="68">
        <f>D12-D11</f>
        <v>39</v>
      </c>
      <c r="F12" s="127">
        <v>40.659999999999997</v>
      </c>
      <c r="G12" s="70">
        <f>(42.65+41.54+41.85+41.12+40.67+41.72+40.66+41.34+41.28+40.93+41.27+40.98+40.84+41.36+40.92+40.96+41+41.06+41.1+41.61+40.98+41.07+41.25+40.97+40.68+41.28+40.89+40.84+40.94+40.98+41.9+41.15+41.25+40.94+40.78+41.13+40.91+41.59)/38</f>
        <v>41.168157894736851</v>
      </c>
      <c r="H12" s="69">
        <v>2</v>
      </c>
      <c r="I12" s="71">
        <f>G12-F12</f>
        <v>0.50815789473685413</v>
      </c>
      <c r="J12" s="72">
        <v>6.3356481481481486E-2</v>
      </c>
      <c r="K12" s="72">
        <f>J12-J11</f>
        <v>1.9594907407407408E-2</v>
      </c>
      <c r="L12" s="72">
        <f>K12+K10</f>
        <v>4.024305555555556E-2</v>
      </c>
      <c r="M12" s="74" t="s">
        <v>160</v>
      </c>
      <c r="N12" s="75"/>
      <c r="O12" s="22"/>
    </row>
    <row r="13" spans="1:16" s="3" customFormat="1" ht="30" customHeight="1" x14ac:dyDescent="0.25">
      <c r="A13" s="251" t="s">
        <v>67</v>
      </c>
      <c r="B13" s="253" t="s">
        <v>109</v>
      </c>
      <c r="C13" s="186">
        <v>3</v>
      </c>
      <c r="D13" s="81">
        <v>143</v>
      </c>
      <c r="E13" s="68">
        <f t="shared" ref="E13:E14" si="0">D13-D12</f>
        <v>15</v>
      </c>
      <c r="F13" s="69">
        <v>40.69</v>
      </c>
      <c r="G13" s="70">
        <f>(42.33+40.69+41.26+41.34+41.72+40.84+41.6+41.62+41.19+41.26+41.12+41.19+41.27)/13</f>
        <v>41.340769230769233</v>
      </c>
      <c r="H13" s="69">
        <v>0</v>
      </c>
      <c r="I13" s="71">
        <f t="shared" ref="I13:I14" si="1">G13-F13</f>
        <v>0.65076923076923521</v>
      </c>
      <c r="J13" s="255">
        <v>8.4201388888888895E-2</v>
      </c>
      <c r="K13" s="257">
        <f>J13-J12</f>
        <v>2.0844907407407409E-2</v>
      </c>
      <c r="L13" s="255">
        <f>K13+K11</f>
        <v>4.3958333333333335E-2</v>
      </c>
      <c r="M13" s="261"/>
      <c r="N13" s="259">
        <v>-52</v>
      </c>
      <c r="O13" s="180" t="s">
        <v>162</v>
      </c>
    </row>
    <row r="14" spans="1:16" s="3" customFormat="1" ht="30" customHeight="1" thickBot="1" x14ac:dyDescent="0.3">
      <c r="A14" s="252"/>
      <c r="B14" s="254"/>
      <c r="C14" s="81">
        <v>8</v>
      </c>
      <c r="D14" s="81">
        <v>169</v>
      </c>
      <c r="E14" s="68">
        <f t="shared" si="0"/>
        <v>26</v>
      </c>
      <c r="F14" s="154">
        <v>40.79</v>
      </c>
      <c r="G14" s="70">
        <f>(41.56+40.93+41.39+41.94+40.79+41.65+40.81+41.36+41.25+41.02+41.03+41.39+41.29+41.69+41.68+41.04+41.28+41.64+41.24+41.1+41.07+41.02+42.03+41.74)/24</f>
        <v>41.330833333333324</v>
      </c>
      <c r="H14" s="69">
        <v>1</v>
      </c>
      <c r="I14" s="71">
        <f t="shared" si="1"/>
        <v>0.54083333333332462</v>
      </c>
      <c r="J14" s="256"/>
      <c r="K14" s="258"/>
      <c r="L14" s="256"/>
      <c r="M14" s="262"/>
      <c r="N14" s="260"/>
    </row>
    <row r="15" spans="1:16" s="3" customFormat="1" ht="30" customHeight="1" x14ac:dyDescent="0.25">
      <c r="A15" s="87"/>
      <c r="B15" s="88"/>
      <c r="C15" s="89"/>
      <c r="D15" s="89"/>
      <c r="E15" s="89"/>
      <c r="F15" s="90">
        <f t="shared" ref="F15:G15" si="2">AVERAGE(F10,F14)</f>
        <v>40.605000000000004</v>
      </c>
      <c r="G15" s="106">
        <f t="shared" si="2"/>
        <v>41.332974806201548</v>
      </c>
      <c r="H15" s="106" t="s">
        <v>76</v>
      </c>
      <c r="I15" s="92">
        <f>AVERAGE(I10,I14)</f>
        <v>0.72797480620154786</v>
      </c>
      <c r="J15" s="89"/>
      <c r="K15" s="89"/>
      <c r="L15" s="89"/>
      <c r="M15" s="93"/>
      <c r="N15" s="93"/>
    </row>
    <row r="16" spans="1:16" ht="27.75" customHeight="1" x14ac:dyDescent="0.25">
      <c r="A16" s="94"/>
      <c r="B16" s="94"/>
      <c r="C16" s="94"/>
      <c r="D16" s="95"/>
      <c r="E16" s="96"/>
      <c r="F16" s="97">
        <f t="shared" ref="F16:G16" si="3">AVERAGE(F11:F12,F14)</f>
        <v>40.663333333333327</v>
      </c>
      <c r="G16" s="98">
        <f t="shared" si="3"/>
        <v>41.191515594541919</v>
      </c>
      <c r="H16" s="98" t="s">
        <v>149</v>
      </c>
      <c r="I16" s="99">
        <f>AVERAGE(I11:I12,I14)</f>
        <v>0.52818226120858236</v>
      </c>
      <c r="J16" s="96"/>
      <c r="K16" s="96" t="s">
        <v>32</v>
      </c>
      <c r="L16" s="96"/>
      <c r="M16" s="93"/>
      <c r="N16" s="93"/>
    </row>
    <row r="17" spans="1:14" ht="30" customHeight="1" thickBot="1" x14ac:dyDescent="0.3">
      <c r="A17" s="100"/>
      <c r="B17" s="100"/>
      <c r="C17" s="100"/>
      <c r="D17" s="96"/>
      <c r="E17" s="96"/>
      <c r="F17" s="101">
        <f>AVERAGE(F10:F14)</f>
        <v>40.619999999999997</v>
      </c>
      <c r="G17" s="102">
        <f>AVERAGE(G10:G14)</f>
        <v>41.250086458692948</v>
      </c>
      <c r="H17" s="103"/>
      <c r="I17" s="104">
        <f>AVERAGE(I10:I14)</f>
        <v>0.63008645869295066</v>
      </c>
      <c r="J17" s="96"/>
      <c r="K17" s="96"/>
      <c r="L17" s="96"/>
      <c r="M17" s="100"/>
      <c r="N17" s="100"/>
    </row>
    <row r="20" spans="1:14" x14ac:dyDescent="0.25">
      <c r="M20" s="2"/>
      <c r="N20" s="2"/>
    </row>
    <row r="21" spans="1:14" x14ac:dyDescent="0.25">
      <c r="M21" s="3"/>
      <c r="N21" s="3"/>
    </row>
    <row r="22" spans="1:14" x14ac:dyDescent="0.25">
      <c r="M22" s="3"/>
      <c r="N22" s="3"/>
    </row>
    <row r="23" spans="1:14" x14ac:dyDescent="0.25">
      <c r="M23" s="3"/>
      <c r="N23" s="3"/>
    </row>
  </sheetData>
  <mergeCells count="17">
    <mergeCell ref="N13:N14"/>
    <mergeCell ref="M13:M14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  <mergeCell ref="A13:A14"/>
    <mergeCell ref="B13:B14"/>
    <mergeCell ref="L13:L14"/>
    <mergeCell ref="K13:K14"/>
    <mergeCell ref="J13:J14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L12" sqref="L1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9" t="s">
        <v>89</v>
      </c>
      <c r="B4" s="239"/>
      <c r="C4" s="239"/>
      <c r="D4" s="239"/>
      <c r="E4" s="239"/>
      <c r="F4" s="239"/>
      <c r="G4" s="239"/>
      <c r="H4" s="239"/>
      <c r="I4" s="239"/>
      <c r="J4" s="239"/>
      <c r="K4" s="239"/>
      <c r="L4" s="239"/>
    </row>
    <row r="5" spans="1:16" ht="7.5" customHeight="1" x14ac:dyDescent="0.25"/>
    <row r="6" spans="1:16" ht="17.25" x14ac:dyDescent="0.3">
      <c r="A6" s="189" t="s">
        <v>108</v>
      </c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</row>
    <row r="7" spans="1:16" ht="7.5" customHeight="1" x14ac:dyDescent="0.25"/>
    <row r="8" spans="1:16" s="2" customFormat="1" ht="20.25" customHeight="1" x14ac:dyDescent="0.25">
      <c r="A8" s="240" t="s">
        <v>52</v>
      </c>
      <c r="B8" s="241" t="s">
        <v>47</v>
      </c>
      <c r="C8" s="242" t="s">
        <v>42</v>
      </c>
      <c r="D8" s="241" t="s">
        <v>53</v>
      </c>
      <c r="E8" s="244" t="s">
        <v>54</v>
      </c>
      <c r="F8" s="246" t="s">
        <v>55</v>
      </c>
      <c r="G8" s="247"/>
      <c r="H8" s="247"/>
      <c r="I8" s="248"/>
      <c r="J8" s="249" t="s">
        <v>56</v>
      </c>
      <c r="K8" s="240" t="s">
        <v>57</v>
      </c>
      <c r="L8" s="240"/>
      <c r="M8" s="60"/>
      <c r="N8" s="60"/>
    </row>
    <row r="9" spans="1:16" s="2" customFormat="1" ht="27.75" customHeight="1" x14ac:dyDescent="0.25">
      <c r="A9" s="240"/>
      <c r="B9" s="241"/>
      <c r="C9" s="243"/>
      <c r="D9" s="241"/>
      <c r="E9" s="245"/>
      <c r="F9" s="61" t="s">
        <v>58</v>
      </c>
      <c r="G9" s="61" t="s">
        <v>59</v>
      </c>
      <c r="H9" s="61" t="s">
        <v>60</v>
      </c>
      <c r="I9" s="62" t="s">
        <v>61</v>
      </c>
      <c r="J9" s="250"/>
      <c r="K9" s="63" t="s">
        <v>62</v>
      </c>
      <c r="L9" s="63" t="s">
        <v>63</v>
      </c>
      <c r="M9" s="64" t="s">
        <v>64</v>
      </c>
      <c r="N9" s="64" t="s">
        <v>65</v>
      </c>
    </row>
    <row r="10" spans="1:16" s="3" customFormat="1" ht="30" customHeight="1" x14ac:dyDescent="0.25">
      <c r="A10" s="65">
        <v>1</v>
      </c>
      <c r="B10" s="66" t="s">
        <v>99</v>
      </c>
      <c r="C10" s="67">
        <v>33</v>
      </c>
      <c r="D10" s="67">
        <v>25</v>
      </c>
      <c r="E10" s="68">
        <f>D10</f>
        <v>25</v>
      </c>
      <c r="F10" s="69">
        <v>40.76</v>
      </c>
      <c r="G10" s="70">
        <f>(43.9+43.11+43.65+41.32+41.4+40.78+41.04+40.87+41.37+40.95+41.05+41.33+41.09+41.05+42.11+41.59+41.09+41.32+41.33+41.19+41.57+41.56+41.3+40.76+41.65)/25</f>
        <v>41.53520000000001</v>
      </c>
      <c r="H10" s="69">
        <v>1</v>
      </c>
      <c r="I10" s="71">
        <f>G10-F10</f>
        <v>0.77520000000001232</v>
      </c>
      <c r="J10" s="72">
        <v>1.2106481481481482E-2</v>
      </c>
      <c r="K10" s="72">
        <f>J10</f>
        <v>1.2106481481481482E-2</v>
      </c>
      <c r="L10" s="73">
        <f>K10</f>
        <v>1.2106481481481482E-2</v>
      </c>
      <c r="M10" s="74" t="s">
        <v>150</v>
      </c>
      <c r="N10" s="75">
        <v>5</v>
      </c>
      <c r="O10" s="153" t="s">
        <v>152</v>
      </c>
      <c r="P10" s="115"/>
    </row>
    <row r="11" spans="1:16" s="3" customFormat="1" ht="30" customHeight="1" x14ac:dyDescent="0.25">
      <c r="A11" s="65">
        <v>2</v>
      </c>
      <c r="B11" s="66" t="s">
        <v>100</v>
      </c>
      <c r="C11" s="67">
        <v>7</v>
      </c>
      <c r="D11" s="67">
        <v>79</v>
      </c>
      <c r="E11" s="68">
        <f>D11-D10</f>
        <v>54</v>
      </c>
      <c r="F11" s="130">
        <v>40.99</v>
      </c>
      <c r="G11" s="76">
        <f>(41.51+41.71+42.53+41.14+41.39+41.48+41.84+44.01+41.3+40.99+41.46+41.3+42.56+41.82+42.09+41.44+42.01+42.15+41.35+41.07+41.78+41.5+42.44+42.06+41.31+42.68+41.35+42.07+41.79+42.58+42.17+42.1+42.21+41.63+41.53+45.11+41.53+41.53+42.05+42.45+42.42+41.63+41.44+41.58+41.97+41.94+41.71+42.08+41.6+41.97+41.98+41.79+42.51)/53</f>
        <v>41.917735849056598</v>
      </c>
      <c r="H11" s="69">
        <v>1</v>
      </c>
      <c r="I11" s="71">
        <f>G11-F11</f>
        <v>0.9277358490565959</v>
      </c>
      <c r="J11" s="72">
        <v>3.9432870370370368E-2</v>
      </c>
      <c r="K11" s="72">
        <f>J11-J10</f>
        <v>2.7326388888888886E-2</v>
      </c>
      <c r="L11" s="73">
        <f>K11</f>
        <v>2.7326388888888886E-2</v>
      </c>
      <c r="M11" s="74" t="s">
        <v>151</v>
      </c>
      <c r="N11" s="75"/>
      <c r="O11" s="114"/>
      <c r="P11" s="115"/>
    </row>
    <row r="12" spans="1:16" s="3" customFormat="1" ht="30" customHeight="1" x14ac:dyDescent="0.25">
      <c r="A12" s="65">
        <v>3</v>
      </c>
      <c r="B12" s="66" t="s">
        <v>99</v>
      </c>
      <c r="C12" s="116">
        <v>5</v>
      </c>
      <c r="D12" s="67">
        <v>144</v>
      </c>
      <c r="E12" s="68">
        <f>D12-D11</f>
        <v>65</v>
      </c>
      <c r="F12" s="69">
        <v>40.78</v>
      </c>
      <c r="G12" s="70">
        <f>(41.45+43.15+41.51+41+42.26+42.65+41.82+41.33+41.41+40.99+41.32+41.39+40.88+41.09+40.9+40.99+41.21+40.99+41.31+41.01+41.66+41.74+43.33+42.5+41.71+41.01+41+40.94+40.78+41.24+41.82+41.07+41.14+42.39+41.66+41.32+41.22+40.86+41.99+41.43+41.68+41+41.54+41.37+42+41.07+41.15+41.38+41.31+41.22+41.02+40.79+41.22+41.18+41.06+41.06+42.43+42.66+40.99+41.23+41.05+41.29+41.05+41.38)/64</f>
        <v>41.431249999999991</v>
      </c>
      <c r="H12" s="69">
        <v>3</v>
      </c>
      <c r="I12" s="71">
        <f>G12-F12</f>
        <v>0.65124999999999034</v>
      </c>
      <c r="J12" s="72">
        <v>7.1712962962962964E-2</v>
      </c>
      <c r="K12" s="72">
        <f>J12-J11</f>
        <v>3.2280092592592596E-2</v>
      </c>
      <c r="L12" s="72">
        <f>K12+K10</f>
        <v>4.4386574074074078E-2</v>
      </c>
      <c r="M12" s="74" t="s">
        <v>163</v>
      </c>
      <c r="N12" s="75"/>
      <c r="O12" s="22"/>
    </row>
    <row r="13" spans="1:16" s="3" customFormat="1" ht="30" customHeight="1" thickBot="1" x14ac:dyDescent="0.3">
      <c r="A13" s="125" t="s">
        <v>67</v>
      </c>
      <c r="B13" s="80" t="s">
        <v>100</v>
      </c>
      <c r="C13" s="81">
        <v>1</v>
      </c>
      <c r="D13" s="81">
        <v>167</v>
      </c>
      <c r="E13" s="68">
        <f>D13-D12</f>
        <v>23</v>
      </c>
      <c r="F13" s="129">
        <v>40.79</v>
      </c>
      <c r="G13" s="70">
        <f>(41.44+42.14+41.74+41.54+41.86+41.99+41.42+41.47+41.3+41.92+40.79+40.81+41.26+41.29+41.59+41.65+43.34+41.98+42.44+41.87+42.25+42.04)/22</f>
        <v>41.733181818181819</v>
      </c>
      <c r="H13" s="69">
        <v>1</v>
      </c>
      <c r="I13" s="85">
        <f>G13-F13</f>
        <v>0.94318181818182012</v>
      </c>
      <c r="J13" s="126">
        <v>8.3900462962962954E-2</v>
      </c>
      <c r="K13" s="108">
        <f>J13-J12</f>
        <v>1.218749999999999E-2</v>
      </c>
      <c r="L13" s="126">
        <f>K13+K11</f>
        <v>3.9513888888888876E-2</v>
      </c>
      <c r="M13" s="74"/>
      <c r="N13" s="75"/>
    </row>
    <row r="14" spans="1:16" s="3" customFormat="1" ht="30" customHeight="1" x14ac:dyDescent="0.25">
      <c r="A14" s="87"/>
      <c r="B14" s="88"/>
      <c r="C14" s="89"/>
      <c r="D14" s="89"/>
      <c r="E14" s="89"/>
      <c r="F14" s="90">
        <f>AVERAGE(F10,F12)</f>
        <v>40.769999999999996</v>
      </c>
      <c r="G14" s="106">
        <f>AVERAGE(G10,G12)</f>
        <v>41.483225000000004</v>
      </c>
      <c r="H14" s="106" t="s">
        <v>164</v>
      </c>
      <c r="I14" s="92">
        <f>AVERAGE(I10,I12)</f>
        <v>0.71322500000000133</v>
      </c>
      <c r="J14" s="89"/>
      <c r="K14" s="89"/>
      <c r="L14" s="89"/>
      <c r="M14" s="93"/>
      <c r="N14" s="93"/>
    </row>
    <row r="15" spans="1:16" ht="27.75" customHeight="1" x14ac:dyDescent="0.25">
      <c r="A15" s="94"/>
      <c r="B15" s="94"/>
      <c r="C15" s="94"/>
      <c r="D15" s="95"/>
      <c r="E15" s="96"/>
      <c r="F15" s="97">
        <f>AVERAGE(F11,F13)</f>
        <v>40.89</v>
      </c>
      <c r="G15" s="98">
        <f>AVERAGE(G11,G13)</f>
        <v>41.825458833619209</v>
      </c>
      <c r="H15" s="98" t="s">
        <v>165</v>
      </c>
      <c r="I15" s="99">
        <f>AVERAGE(I11,I13)</f>
        <v>0.93545883361920801</v>
      </c>
      <c r="J15" s="96"/>
      <c r="K15" s="96" t="s">
        <v>32</v>
      </c>
      <c r="L15" s="96"/>
      <c r="M15" s="93"/>
      <c r="N15" s="93"/>
    </row>
    <row r="16" spans="1:16" ht="30" customHeight="1" thickBot="1" x14ac:dyDescent="0.3">
      <c r="A16" s="100"/>
      <c r="B16" s="100"/>
      <c r="C16" s="100"/>
      <c r="D16" s="96"/>
      <c r="E16" s="96"/>
      <c r="F16" s="101">
        <f>AVERAGE(F10:F13)</f>
        <v>40.83</v>
      </c>
      <c r="G16" s="102">
        <f>AVERAGE(G10:G13)</f>
        <v>41.654341916809607</v>
      </c>
      <c r="H16" s="103"/>
      <c r="I16" s="104">
        <f>AVERAGE(I10:I13)</f>
        <v>0.82434191680960467</v>
      </c>
      <c r="J16" s="96"/>
      <c r="K16" s="96"/>
      <c r="L16" s="96"/>
      <c r="M16" s="100"/>
      <c r="N16" s="100"/>
    </row>
    <row r="19" spans="13:14" x14ac:dyDescent="0.25">
      <c r="M19" s="2"/>
      <c r="N19" s="2"/>
    </row>
    <row r="20" spans="13:14" x14ac:dyDescent="0.25">
      <c r="M20" s="3"/>
      <c r="N20" s="3"/>
    </row>
    <row r="21" spans="13:14" x14ac:dyDescent="0.25">
      <c r="M21" s="3"/>
      <c r="N21" s="3"/>
    </row>
    <row r="22" spans="13:14" x14ac:dyDescent="0.25">
      <c r="M22" s="3"/>
      <c r="N22" s="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Общие результаты</vt:lpstr>
      <vt:lpstr>Регистрация</vt:lpstr>
      <vt:lpstr>Kozak I razboiniki</vt:lpstr>
      <vt:lpstr>Shum</vt:lpstr>
      <vt:lpstr>Winni</vt:lpstr>
      <vt:lpstr>Fortune</vt:lpstr>
      <vt:lpstr>Отряд СС</vt:lpstr>
      <vt:lpstr>FNT</vt:lpstr>
      <vt:lpstr>Levi 9</vt:lpstr>
      <vt:lpstr>chaykaschool</vt:lpstr>
      <vt:lpstr>Gopniki</vt:lpstr>
      <vt:lpstr>Forza Team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2016-08-27T20:02:30Z</dcterms:modified>
</cp:coreProperties>
</file>