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75" windowWidth="15480" windowHeight="8955" tabRatio="857" activeTab="1"/>
  </bookViews>
  <sheets>
    <sheet name="Регистрация" sheetId="8" r:id="rId1"/>
    <sheet name="Общие результаты" sheetId="26" r:id="rId2"/>
    <sheet name="Лучшие отрезки" sheetId="22" r:id="rId3"/>
    <sheet name="ЛК по картам" sheetId="24" r:id="rId4"/>
    <sheet name="Выбор картов" sheetId="25" r:id="rId5"/>
    <sheet name="OkApp" sheetId="15" r:id="rId6"/>
    <sheet name="Финики" sheetId="16" r:id="rId7"/>
    <sheet name="Нежданчик" sheetId="17" r:id="rId8"/>
    <sheet name="Тандерболт" sheetId="18" r:id="rId9"/>
    <sheet name="Торнадо" sheetId="19" r:id="rId10"/>
    <sheet name="MST" sheetId="20" r:id="rId11"/>
    <sheet name="FNT" sheetId="21" r:id="rId12"/>
    <sheet name="Вспомогательный" sheetId="23" r:id="rId13"/>
  </sheets>
  <definedNames>
    <definedName name="_xlnm._FilterDatabase" localSheetId="12" hidden="1">Вспомогательный!$B$2:$H$2</definedName>
    <definedName name="_xlnm._FilterDatabase" localSheetId="3" hidden="1">'ЛК по картам'!$B$5:$E$21</definedName>
    <definedName name="_xlnm._FilterDatabase" localSheetId="2" hidden="1">'Лучшие отрезки'!$B$5:$E$21</definedName>
  </definedNames>
  <calcPr calcId="125725"/>
</workbook>
</file>

<file path=xl/calcChain.xml><?xml version="1.0" encoding="utf-8"?>
<calcChain xmlns="http://schemas.openxmlformats.org/spreadsheetml/2006/main">
  <c r="F10" i="15"/>
  <c r="F14" i="21"/>
  <c r="F14" i="20"/>
  <c r="F14" i="19"/>
  <c r="F14" i="17"/>
  <c r="F14" i="16"/>
  <c r="F14" i="18"/>
  <c r="H8" i="26"/>
  <c r="F36" i="25" l="1"/>
  <c r="F35"/>
  <c r="F34"/>
  <c r="F33"/>
  <c r="F32"/>
  <c r="F31"/>
  <c r="F30"/>
  <c r="F29"/>
  <c r="L24"/>
  <c r="L23"/>
  <c r="L22"/>
  <c r="L21"/>
  <c r="L20"/>
  <c r="L19"/>
  <c r="L18"/>
  <c r="L17"/>
  <c r="I24"/>
  <c r="I23"/>
  <c r="I22"/>
  <c r="I21"/>
  <c r="I20"/>
  <c r="I19"/>
  <c r="I18"/>
  <c r="I17"/>
  <c r="F24"/>
  <c r="F23"/>
  <c r="F22"/>
  <c r="F21"/>
  <c r="F20"/>
  <c r="F19"/>
  <c r="F18"/>
  <c r="F17"/>
  <c r="L12"/>
  <c r="L11"/>
  <c r="L10"/>
  <c r="L9"/>
  <c r="L8"/>
  <c r="L7"/>
  <c r="L6"/>
  <c r="L5"/>
  <c r="I5"/>
  <c r="I6"/>
  <c r="I7"/>
  <c r="I8"/>
  <c r="I9"/>
  <c r="I10"/>
  <c r="I11"/>
  <c r="I12"/>
  <c r="F12"/>
  <c r="F11"/>
  <c r="F10"/>
  <c r="F9"/>
  <c r="F8"/>
  <c r="F7"/>
  <c r="F6"/>
  <c r="F5"/>
  <c r="E10" i="24"/>
  <c r="E16"/>
  <c r="F37" i="25"/>
  <c r="B19"/>
  <c r="L25"/>
  <c r="E19" i="24"/>
  <c r="K10"/>
  <c r="E7"/>
  <c r="K19"/>
  <c r="K7"/>
  <c r="K16"/>
  <c r="E25"/>
  <c r="K22"/>
  <c r="K25"/>
  <c r="E13"/>
  <c r="K13"/>
  <c r="E22"/>
  <c r="F7" i="23"/>
  <c r="F27"/>
  <c r="F35"/>
  <c r="F23"/>
  <c r="F15"/>
  <c r="F19"/>
  <c r="F14"/>
  <c r="F39"/>
  <c r="F20"/>
  <c r="F12"/>
  <c r="F54"/>
  <c r="F5"/>
  <c r="F55"/>
  <c r="F6"/>
  <c r="F53"/>
  <c r="F30"/>
  <c r="F17"/>
  <c r="F37"/>
  <c r="F16"/>
  <c r="F34"/>
  <c r="F26"/>
  <c r="F36"/>
  <c r="F21"/>
  <c r="F4"/>
  <c r="F52"/>
  <c r="F3"/>
  <c r="F9"/>
  <c r="F45"/>
  <c r="F10"/>
  <c r="F44"/>
  <c r="F43"/>
  <c r="F18"/>
  <c r="F13"/>
  <c r="F28"/>
  <c r="F46"/>
  <c r="F25"/>
  <c r="F38"/>
  <c r="F29"/>
  <c r="F56"/>
  <c r="F32"/>
  <c r="F8"/>
  <c r="F48"/>
  <c r="F31"/>
  <c r="F57"/>
  <c r="F22"/>
  <c r="F33"/>
  <c r="F11"/>
  <c r="F47"/>
  <c r="F42"/>
  <c r="F58"/>
  <c r="F40"/>
  <c r="F51"/>
  <c r="F41"/>
  <c r="F50"/>
  <c r="F24"/>
  <c r="F49"/>
  <c r="N13" i="21"/>
  <c r="N12"/>
  <c r="J13"/>
  <c r="J12"/>
  <c r="J11"/>
  <c r="J10"/>
  <c r="J9"/>
  <c r="J8"/>
  <c r="K7"/>
  <c r="K9" s="1"/>
  <c r="K11" s="1"/>
  <c r="J7"/>
  <c r="K6"/>
  <c r="K8" s="1"/>
  <c r="K10" s="1"/>
  <c r="K12" s="1"/>
  <c r="K13" s="1"/>
  <c r="J6"/>
  <c r="M6"/>
  <c r="M7"/>
  <c r="M8"/>
  <c r="M9"/>
  <c r="M10"/>
  <c r="M11"/>
  <c r="M12"/>
  <c r="M13"/>
  <c r="H13"/>
  <c r="H12"/>
  <c r="H11"/>
  <c r="H10"/>
  <c r="H9"/>
  <c r="H8"/>
  <c r="H7"/>
  <c r="H6"/>
  <c r="F13"/>
  <c r="F12"/>
  <c r="F11"/>
  <c r="F10"/>
  <c r="F9"/>
  <c r="F8"/>
  <c r="F7"/>
  <c r="F6"/>
  <c r="E14"/>
  <c r="F9" i="20"/>
  <c r="F13"/>
  <c r="F12"/>
  <c r="F11"/>
  <c r="F10"/>
  <c r="F8"/>
  <c r="F7"/>
  <c r="F6"/>
  <c r="J13"/>
  <c r="J12"/>
  <c r="J11"/>
  <c r="J10"/>
  <c r="J9"/>
  <c r="J8"/>
  <c r="J7"/>
  <c r="K7" s="1"/>
  <c r="J6"/>
  <c r="K6" s="1"/>
  <c r="H13"/>
  <c r="H12"/>
  <c r="H11"/>
  <c r="H10"/>
  <c r="H9"/>
  <c r="H8"/>
  <c r="H7"/>
  <c r="H6"/>
  <c r="E14"/>
  <c r="M13"/>
  <c r="M12"/>
  <c r="M11"/>
  <c r="M10"/>
  <c r="M9"/>
  <c r="M8"/>
  <c r="M7"/>
  <c r="N13" s="1"/>
  <c r="M6"/>
  <c r="N12" s="1"/>
  <c r="N12" i="19"/>
  <c r="N13"/>
  <c r="J13"/>
  <c r="J12"/>
  <c r="J11"/>
  <c r="J10"/>
  <c r="J9"/>
  <c r="J8"/>
  <c r="J7"/>
  <c r="K7" s="1"/>
  <c r="J6"/>
  <c r="K6" s="1"/>
  <c r="H13"/>
  <c r="H12"/>
  <c r="H11"/>
  <c r="H10"/>
  <c r="H9"/>
  <c r="H8"/>
  <c r="H7"/>
  <c r="H6"/>
  <c r="E14"/>
  <c r="M13"/>
  <c r="M12"/>
  <c r="M11"/>
  <c r="M10"/>
  <c r="M9"/>
  <c r="M8"/>
  <c r="M7"/>
  <c r="M6"/>
  <c r="N13" i="18"/>
  <c r="N12"/>
  <c r="J13"/>
  <c r="J12"/>
  <c r="J11"/>
  <c r="J10"/>
  <c r="J9"/>
  <c r="J8"/>
  <c r="K7"/>
  <c r="K8" s="1"/>
  <c r="K10" s="1"/>
  <c r="K12" s="1"/>
  <c r="J7"/>
  <c r="K6"/>
  <c r="K9" s="1"/>
  <c r="K11" s="1"/>
  <c r="K13" s="1"/>
  <c r="J6"/>
  <c r="E14"/>
  <c r="M13"/>
  <c r="M12"/>
  <c r="M11"/>
  <c r="M10"/>
  <c r="M9"/>
  <c r="M8"/>
  <c r="M7"/>
  <c r="M6"/>
  <c r="J13" i="17"/>
  <c r="J12"/>
  <c r="J11"/>
  <c r="J10"/>
  <c r="J9"/>
  <c r="K8"/>
  <c r="K10" s="1"/>
  <c r="K12" s="1"/>
  <c r="K13" s="1"/>
  <c r="J8"/>
  <c r="J7"/>
  <c r="K6"/>
  <c r="K7" s="1"/>
  <c r="K9" s="1"/>
  <c r="K11" s="1"/>
  <c r="J6"/>
  <c r="H13"/>
  <c r="H12"/>
  <c r="H11"/>
  <c r="H10"/>
  <c r="H9"/>
  <c r="H8"/>
  <c r="H7"/>
  <c r="H6"/>
  <c r="E14"/>
  <c r="M13"/>
  <c r="M12"/>
  <c r="N13" s="1"/>
  <c r="M11"/>
  <c r="M10"/>
  <c r="M9"/>
  <c r="M8"/>
  <c r="M7"/>
  <c r="M6"/>
  <c r="N13" i="16"/>
  <c r="J13"/>
  <c r="J12"/>
  <c r="J11"/>
  <c r="J10"/>
  <c r="J9"/>
  <c r="J8"/>
  <c r="J7"/>
  <c r="K7" s="1"/>
  <c r="J6"/>
  <c r="K6" s="1"/>
  <c r="H13"/>
  <c r="H12"/>
  <c r="H11"/>
  <c r="H10"/>
  <c r="H9"/>
  <c r="H8"/>
  <c r="H7"/>
  <c r="H6"/>
  <c r="F13"/>
  <c r="F12"/>
  <c r="F11"/>
  <c r="F10"/>
  <c r="F9"/>
  <c r="F8"/>
  <c r="F7"/>
  <c r="F6"/>
  <c r="E14"/>
  <c r="M13"/>
  <c r="M12"/>
  <c r="M11"/>
  <c r="M10"/>
  <c r="M9"/>
  <c r="M8"/>
  <c r="M6"/>
  <c r="N12" s="1"/>
  <c r="M10" i="15"/>
  <c r="F11"/>
  <c r="M11"/>
  <c r="S15" i="25" l="1"/>
  <c r="S11"/>
  <c r="S17"/>
  <c r="S13"/>
  <c r="S9"/>
  <c r="F25"/>
  <c r="P11" s="1"/>
  <c r="F13"/>
  <c r="L13"/>
  <c r="P15" s="1"/>
  <c r="I25"/>
  <c r="P17" s="1"/>
  <c r="I13"/>
  <c r="P9" s="1"/>
  <c r="K8" i="20"/>
  <c r="K10"/>
  <c r="K12" s="1"/>
  <c r="K9"/>
  <c r="K11" s="1"/>
  <c r="K13" s="1"/>
  <c r="K8" i="19"/>
  <c r="K10"/>
  <c r="K12" s="1"/>
  <c r="K9"/>
  <c r="K11" s="1"/>
  <c r="K13" s="1"/>
  <c r="N12" i="17"/>
  <c r="K9" i="16"/>
  <c r="K11" s="1"/>
  <c r="K8"/>
  <c r="K10"/>
  <c r="K12" s="1"/>
  <c r="K13" s="1"/>
  <c r="M7"/>
  <c r="Q17" i="25" l="1"/>
  <c r="P7"/>
  <c r="P13"/>
  <c r="P19"/>
  <c r="Q19" s="1"/>
  <c r="R19" s="1"/>
  <c r="Q15"/>
  <c r="Q9"/>
  <c r="Q11"/>
  <c r="Q13"/>
  <c r="J13" i="15" l="1"/>
  <c r="H13"/>
  <c r="J12"/>
  <c r="H12"/>
  <c r="J11"/>
  <c r="H11"/>
  <c r="J10"/>
  <c r="H10"/>
  <c r="J9"/>
  <c r="H9"/>
  <c r="J8"/>
  <c r="K8" s="1"/>
  <c r="K10" s="1"/>
  <c r="K12" s="1"/>
  <c r="H8"/>
  <c r="J7"/>
  <c r="H7"/>
  <c r="J6"/>
  <c r="K6" s="1"/>
  <c r="K7" s="1"/>
  <c r="K9" s="1"/>
  <c r="K11" s="1"/>
  <c r="K13" s="1"/>
  <c r="H6"/>
  <c r="F13"/>
  <c r="F12"/>
  <c r="F9"/>
  <c r="M9" s="1"/>
  <c r="F8"/>
  <c r="F7"/>
  <c r="F6"/>
  <c r="M13"/>
  <c r="E14"/>
  <c r="M12"/>
  <c r="M8"/>
  <c r="N12" s="1"/>
  <c r="M6"/>
  <c r="F14" l="1"/>
  <c r="M7"/>
  <c r="N13" s="1"/>
</calcChain>
</file>

<file path=xl/comments1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9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? Пит короче на 5 сек - возможно, ошибка хронометриста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2 stop&amp;go (один из них отбывал Наум, но заслужил Паша, поэтому для чистоты статистики оба штрафа зачислены на отрезок Паши)</t>
        </r>
      </text>
    </comment>
    <comment ref="M10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2хstop&amp;go было бы 0,468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</t>
        </r>
      </text>
    </comment>
  </commentList>
</comments>
</file>

<file path=xl/comments2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12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5 сек штраф за не остановку перед линией выезда на 6-м пит стопе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</t>
        </r>
      </text>
    </comment>
  </commentList>
</comments>
</file>

<file path=xl/comments3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
-3 сек компенсация за вес;
+5 сек штраф за 5-й пит стоп</t>
        </r>
      </text>
    </comment>
  </commentList>
</comments>
</file>

<file path=xl/comments4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7" authorId="1">
      <text>
        <r>
          <rPr>
            <b/>
            <sz val="9"/>
            <color indexed="81"/>
            <rFont val="Tahoma"/>
            <family val="2"/>
            <charset val="204"/>
          </rPr>
          <t xml:space="preserve">Owner:
</t>
        </r>
        <r>
          <rPr>
            <sz val="9"/>
            <color indexed="81"/>
            <rFont val="Tahoma"/>
            <family val="2"/>
            <charset val="204"/>
          </rPr>
          <t>+5 сек штраф за время 1-го отрезка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</t>
        </r>
      </text>
    </comment>
  </commentList>
</comments>
</file>

<file path=xl/comments5.xml><?xml version="1.0" encoding="utf-8"?>
<comments xmlns="http://schemas.openxmlformats.org/spreadsheetml/2006/main">
  <authors>
    <author>Картинг</author>
    <author>Owner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13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
-12 сек компенсация за вес
+5 сек штраф за переезд линии на 6-м пит стопе</t>
        </r>
      </text>
    </comment>
  </commentList>
</comments>
</file>

<file path=xl/comments6.xml><?xml version="1.0" encoding="utf-8"?>
<comments xmlns="http://schemas.openxmlformats.org/spreadsheetml/2006/main">
  <authors>
    <author>Owner</author>
    <author>Картинг</author>
  </authors>
  <commentList>
    <comment ref="F6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Без учета первых 3 кругов</t>
        </r>
      </text>
    </comment>
    <comment ref="L7" authorId="0">
      <text>
        <r>
          <rPr>
            <b/>
            <sz val="9"/>
            <color indexed="81"/>
            <rFont val="Tahoma"/>
            <family val="2"/>
            <charset val="204"/>
          </rPr>
          <t xml:space="preserve">Owner:
</t>
        </r>
        <r>
          <rPr>
            <sz val="9"/>
            <color indexed="81"/>
            <rFont val="Tahoma"/>
            <family val="2"/>
            <charset val="204"/>
          </rPr>
          <t>+5 сек штраф за время 1-го отрезка</t>
        </r>
      </text>
    </comment>
    <comment ref="F9" authorId="1">
      <text>
        <r>
          <rPr>
            <b/>
            <sz val="9"/>
            <color indexed="81"/>
            <rFont val="Tahoma"/>
            <family val="2"/>
            <charset val="204"/>
          </rPr>
          <t>Картинг:</t>
        </r>
        <r>
          <rPr>
            <sz val="9"/>
            <color indexed="81"/>
            <rFont val="Tahoma"/>
            <family val="2"/>
            <charset val="204"/>
          </rPr>
          <t xml:space="preserve">
Врезался в колеса - 55,80</t>
        </r>
      </text>
    </comment>
    <comment ref="L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-6 сек - компенсация за вес</t>
        </r>
      </text>
    </comment>
    <comment ref="L1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-3 сек компенсация за вес</t>
        </r>
      </text>
    </comment>
    <comment ref="L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</t>
        </r>
      </text>
    </comment>
  </commentList>
</comments>
</file>

<file path=xl/comments7.xml><?xml version="1.0" encoding="utf-8"?>
<comments xmlns="http://schemas.openxmlformats.org/spreadsheetml/2006/main">
  <authors>
    <author>Owner</author>
  </authors>
  <commentList>
    <comment ref="L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-10 сек - часть компенсации за вес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+5 сек штраф за переезд линии на 5-м пит стопе</t>
        </r>
      </text>
    </comment>
    <comment ref="L13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компенсационный пит
-105 сек компенсация за вес
+5 сек штраф за переезд линии на пит стопе</t>
        </r>
      </text>
    </comment>
  </commentList>
</comments>
</file>

<file path=xl/sharedStrings.xml><?xml version="1.0" encoding="utf-8"?>
<sst xmlns="http://schemas.openxmlformats.org/spreadsheetml/2006/main" count="790" uniqueCount="232">
  <si>
    <t>всего у пилота</t>
  </si>
  <si>
    <t>отрезок</t>
  </si>
  <si>
    <t>Пилот</t>
  </si>
  <si>
    <t>№</t>
  </si>
  <si>
    <t>Вес</t>
  </si>
  <si>
    <t>Довес</t>
  </si>
  <si>
    <t>команда</t>
  </si>
  <si>
    <t>Карт</t>
  </si>
  <si>
    <t>MST</t>
  </si>
  <si>
    <t>Петушков Андрей</t>
  </si>
  <si>
    <t>Тыщенко Миша</t>
  </si>
  <si>
    <t>5-1</t>
  </si>
  <si>
    <t>5-2</t>
  </si>
  <si>
    <t>OkApp Racing</t>
  </si>
  <si>
    <t>Пикулин Паша</t>
  </si>
  <si>
    <t>4-1</t>
  </si>
  <si>
    <t>Наум</t>
  </si>
  <si>
    <t>4-2</t>
  </si>
  <si>
    <t>2-1</t>
  </si>
  <si>
    <t>2-2</t>
  </si>
  <si>
    <t>1-2</t>
  </si>
  <si>
    <t>1-1</t>
  </si>
  <si>
    <t>6-1</t>
  </si>
  <si>
    <t>6-2</t>
  </si>
  <si>
    <t>FNT</t>
  </si>
  <si>
    <t>Плакидюк Виталий</t>
  </si>
  <si>
    <t>Несторенко Андрей</t>
  </si>
  <si>
    <t>Торнадо</t>
  </si>
  <si>
    <t>Стецык Сергей</t>
  </si>
  <si>
    <t>7-1</t>
  </si>
  <si>
    <t>8-1</t>
  </si>
  <si>
    <t>Хавило Дима</t>
  </si>
  <si>
    <t>Ткаченко Антон</t>
  </si>
  <si>
    <t>Горошко Игорь</t>
  </si>
  <si>
    <t>7-2</t>
  </si>
  <si>
    <t>8-2</t>
  </si>
  <si>
    <t>2</t>
  </si>
  <si>
    <t>8</t>
  </si>
  <si>
    <t>11</t>
  </si>
  <si>
    <t>10</t>
  </si>
  <si>
    <t>3</t>
  </si>
  <si>
    <t>15</t>
  </si>
  <si>
    <t>ТандерБолт</t>
  </si>
  <si>
    <t>Финики</t>
  </si>
  <si>
    <t>Бахмацкий Олег</t>
  </si>
  <si>
    <t>Оля</t>
  </si>
  <si>
    <t>-</t>
  </si>
  <si>
    <t>Манило Денис</t>
  </si>
  <si>
    <t>Шендрик Влад</t>
  </si>
  <si>
    <t>19</t>
  </si>
  <si>
    <t>Нежданчик</t>
  </si>
  <si>
    <t>Кругов на отрезке</t>
  </si>
  <si>
    <t>Финиш</t>
  </si>
  <si>
    <t xml:space="preserve">лк </t>
  </si>
  <si>
    <t>карт</t>
  </si>
  <si>
    <t>Квала</t>
  </si>
  <si>
    <t>1</t>
  </si>
  <si>
    <t>4</t>
  </si>
  <si>
    <t>5</t>
  </si>
  <si>
    <t>6</t>
  </si>
  <si>
    <t>9</t>
  </si>
  <si>
    <t>7</t>
  </si>
  <si>
    <t>Олег</t>
  </si>
  <si>
    <t>Паша</t>
  </si>
  <si>
    <t>Антон</t>
  </si>
  <si>
    <t>Дима</t>
  </si>
  <si>
    <t>Игорь</t>
  </si>
  <si>
    <t>Сергей</t>
  </si>
  <si>
    <t>Миша</t>
  </si>
  <si>
    <t>Андрей</t>
  </si>
  <si>
    <t>Виталий</t>
  </si>
  <si>
    <t>Влад</t>
  </si>
  <si>
    <t>Денис</t>
  </si>
  <si>
    <t>Контрольная таблица пит стопов команд</t>
  </si>
  <si>
    <t>КОМАНДА</t>
  </si>
  <si>
    <t>№ пит стопа</t>
  </si>
  <si>
    <t>Карт №</t>
  </si>
  <si>
    <t>Лучший круг</t>
  </si>
  <si>
    <t>Круг заезда на пит</t>
  </si>
  <si>
    <t>Общее время гонки (на часах)</t>
  </si>
  <si>
    <t>Время на трассе (мин)</t>
  </si>
  <si>
    <t>Стабильность пилота</t>
  </si>
  <si>
    <t>на отрезке</t>
  </si>
  <si>
    <t>в гонке</t>
  </si>
  <si>
    <t>Сред. время круга на отрезке (без пита)</t>
  </si>
  <si>
    <t>Командная гонка "Марафонцы 2015", 20.06.15</t>
  </si>
  <si>
    <t>Тандерболт</t>
  </si>
  <si>
    <t>Mad Snails Team</t>
  </si>
  <si>
    <t>Лучшие круги в гонке на отрезках, топ 15</t>
  </si>
  <si>
    <t>Лучшие отрезки (средний круг), топ 15</t>
  </si>
  <si>
    <t>Лучшая стабильность* на отрезке, топ 15</t>
  </si>
  <si>
    <t>Команда</t>
  </si>
  <si>
    <t>Средний круг</t>
  </si>
  <si>
    <t>Стабиль-ность</t>
  </si>
  <si>
    <t>Лучший круг пилота в своей команде</t>
  </si>
  <si>
    <t>Лучший круг у данного пилота за гонку</t>
  </si>
  <si>
    <t>* считается как разница между средним и лучшим кругом</t>
  </si>
  <si>
    <t>№ п/п</t>
  </si>
  <si>
    <t>ЛК</t>
  </si>
  <si>
    <t>Ср. круг</t>
  </si>
  <si>
    <t>Стабил-ть</t>
  </si>
  <si>
    <t>Кругов</t>
  </si>
  <si>
    <t>Лучшие круги по картам, топ 3</t>
  </si>
  <si>
    <t>Средний ЛК</t>
  </si>
  <si>
    <t>Рейтинг картов</t>
  </si>
  <si>
    <t>Результат</t>
  </si>
  <si>
    <t>Время</t>
  </si>
  <si>
    <t>Карты</t>
  </si>
  <si>
    <t>Отрезки</t>
  </si>
  <si>
    <t>Потери</t>
  </si>
  <si>
    <t>Место</t>
  </si>
  <si>
    <t>Круги</t>
  </si>
  <si>
    <t>Всего, сек</t>
  </si>
  <si>
    <t>Среднее</t>
  </si>
  <si>
    <t>OkApp racing</t>
  </si>
  <si>
    <t>Резанко Оля</t>
  </si>
  <si>
    <t>=</t>
  </si>
  <si>
    <t>№ в гонке</t>
  </si>
  <si>
    <t>Гонка</t>
  </si>
  <si>
    <t>Лучший круг в гонке</t>
  </si>
  <si>
    <t>Время/от лидера</t>
  </si>
  <si>
    <t>На круге</t>
  </si>
  <si>
    <t>1 круг</t>
  </si>
  <si>
    <t>5 кругов</t>
  </si>
  <si>
    <t>Конфигурация #4</t>
  </si>
  <si>
    <t>Результаты командной гонки "Марафонцы 2015", 20.06.15</t>
  </si>
  <si>
    <t>От места выше</t>
  </si>
  <si>
    <t>4:00:31,92</t>
  </si>
  <si>
    <t>3 круга</t>
  </si>
  <si>
    <t>Потери на 1-м пите</t>
  </si>
  <si>
    <t>Впервые за время проведения марафонов судьба гонки большей частью решилась уже на 1-м пит стопе. По до конца неясной причине</t>
  </si>
  <si>
    <t>никто не хотел заезжать первым. Все команды дотянули до последней разрешенной минуты. А после того, как дебютанты из FNT</t>
  </si>
  <si>
    <t>Остальные в очереди потеряли от 27 до 52 секунд. Тандерболтам это, возможно, стоило победы в гонке, а Торнадо - призового места.</t>
  </si>
  <si>
    <t>Только MST догадались не заезжать 6-ми на пит, а проехать еще 1 круг, пусть и с 5-сек штрафом. Они потеряли в очереди всего 16 сек.</t>
  </si>
  <si>
    <t>После долгого перерыва в марафонах, команды похоже забыли, насколько важна стратегическая составляющая в такой гонке.</t>
  </si>
  <si>
    <t>Потери в стратегии от лидера</t>
  </si>
  <si>
    <t>Первых трех команд это лишило победы, MST - подиума (подробнее во вкладке "Выбор картов")</t>
  </si>
  <si>
    <t xml:space="preserve">OkApp racing сумели показать вторую чистую скорость в гонке (проиграли Тандерболт). Однако два Stop&amp;Go на 5-м отрезке </t>
  </si>
  <si>
    <t>И здесь решающую роль сыграла стратегия, которая и помогла Окаппам одержать достаточно уверенную победу.</t>
  </si>
  <si>
    <t>ухудшили их средний гоночный темп до 41,496 против 41,446 у Тандерболт, 41,489 у Нежданчиков и  41,490 у Фиников (подробнее во вкладках команд).</t>
  </si>
  <si>
    <t>Торнадо проиграли победителям в этой составляющей 2,7 круга (!), Нежданчики 1,8 круга, Тандерболт 1,7 круга, MST 1,5 круга.</t>
  </si>
  <si>
    <t>заехали на пит, все дружно и одновременно ломанулись за ними. Повезло тем, кто был на трассе сразу за FNT (Окаппам и Финикам).</t>
  </si>
  <si>
    <t>В выборе картов прослеживалась постоянство. Команды, проехавшие на хорошем по их мнению карте, старались попасть на него</t>
  </si>
  <si>
    <t>еще раз, предпочитая "синицу в руках". Так, например на карте №2 в гонке ездили только Бахмацкий и Ткаченко, Стецык дважды</t>
  </si>
  <si>
    <t xml:space="preserve">полюбил карт №4, Манило - №7, Горошко - №10, Хавило - №14, Пикулин - №15. А рекордсменами здесь стали Наум и Петушков - </t>
  </si>
  <si>
    <t>по три раза оседлавшие карты №11 и №21 соответственно. ;)</t>
  </si>
  <si>
    <t>Несмотря на небольшое количество команд-участниц, борьба за победу в гонке была очень острой, и любая из первых 6-ти команд</t>
  </si>
  <si>
    <t>при благоприятном для себя стечении обстоятельств могла претендовать если не на победу, то на место в тройке так точно.</t>
  </si>
  <si>
    <t>и больше круга у всех остальных конкурентов. Дебютанты марафонов - команда FNT - хоть и проиграла в стратегии более опытным конкурентам,</t>
  </si>
  <si>
    <t>но совсем немного. Так что в следующий раз, уверен, они смогут составить достойную конкуренцию лидерам в стратегической составляющей.</t>
  </si>
  <si>
    <t>Успешность стратегии команд в выборе картов на командной гонке "Марафонцы 2015" (на основании ЛК по картам)</t>
  </si>
  <si>
    <r>
      <t xml:space="preserve">Достаточно предсказуемо карты оказались очень близкими по скорости. </t>
    </r>
    <r>
      <rPr>
        <b/>
        <sz val="14"/>
        <color indexed="8"/>
        <rFont val="Calibri"/>
        <family val="2"/>
        <charset val="204"/>
      </rPr>
      <t/>
    </r>
  </si>
  <si>
    <r>
      <rPr>
        <b/>
        <sz val="14"/>
        <color indexed="8"/>
        <rFont val="Calibri"/>
        <family val="2"/>
        <charset val="204"/>
      </rPr>
      <t>Топ 15 лучших кругов показаны на 9 (!) разных картах.</t>
    </r>
    <r>
      <rPr>
        <sz val="14"/>
        <color indexed="8"/>
        <rFont val="Calibri"/>
        <family val="2"/>
        <charset val="204"/>
      </rPr>
      <t xml:space="preserve"> При этом больше всех (трижды) представлены карты №15 и №2. </t>
    </r>
  </si>
  <si>
    <r>
      <t xml:space="preserve">В то же время в списке всего 8 пилотов из 6-и команд. В полном составе представлены Окаппы и </t>
    </r>
    <r>
      <rPr>
        <u/>
        <sz val="14"/>
        <color indexed="8"/>
        <rFont val="Calibri"/>
        <family val="2"/>
        <charset val="204"/>
      </rPr>
      <t>Тандерболт</t>
    </r>
    <r>
      <rPr>
        <sz val="14"/>
        <color indexed="8"/>
        <rFont val="Calibri"/>
        <family val="2"/>
        <charset val="204"/>
      </rPr>
      <t xml:space="preserve">, причем последние </t>
    </r>
    <r>
      <rPr>
        <u/>
        <sz val="14"/>
        <color indexed="8"/>
        <rFont val="Calibri"/>
        <family val="2"/>
        <charset val="204"/>
      </rPr>
      <t>представлены 5-ю отрезками из 8.</t>
    </r>
  </si>
  <si>
    <t xml:space="preserve">Статистический анализ гонки дает основания утверждать, что Финики заняли второе место благодаря феноменальной скорости Олега Бахмацкого, </t>
  </si>
  <si>
    <t xml:space="preserve">поддержанной стабильностью Оли Резанко. Тандерболты были быстрейшими, а Нежданчики - самыми стабильными, но и те, и другие </t>
  </si>
  <si>
    <t xml:space="preserve">проиграли гонку главным образом на 1-м пит стопе. А вот MST и Торнадо немного не хватило скорости для борьбы за победу. </t>
  </si>
  <si>
    <t>(подробнее - во вкладке "Лучшие отрезки").</t>
  </si>
  <si>
    <r>
      <t xml:space="preserve">В первую очередь нужно отметить </t>
    </r>
    <r>
      <rPr>
        <b/>
        <sz val="14"/>
        <color indexed="8"/>
        <rFont val="Calibri"/>
        <family val="2"/>
        <charset val="204"/>
      </rPr>
      <t>Олега Бахмацкого из Фиников</t>
    </r>
    <r>
      <rPr>
        <sz val="14"/>
        <color indexed="8"/>
        <rFont val="Calibri"/>
        <family val="2"/>
        <charset val="204"/>
      </rPr>
      <t>. Он безусловно стал быстрейшим пилотом этого марафона. Олег попал в топ 10 по лучшим кругам на всех своих 4-х отрезках</t>
    </r>
  </si>
  <si>
    <r>
      <rPr>
        <b/>
        <sz val="14"/>
        <color indexed="8"/>
        <rFont val="Calibri"/>
        <family val="2"/>
        <charset val="204"/>
      </rPr>
      <t>Топ 15 лучших отрезков</t>
    </r>
    <r>
      <rPr>
        <sz val="14"/>
        <color indexed="8"/>
        <rFont val="Calibri"/>
        <family val="2"/>
        <charset val="204"/>
      </rPr>
      <t xml:space="preserve"> наглядно демонстрируют преимущество в скорости в гонке Окаппов и Тандерболтов над соперниками (не считая упомянутого выше Олега Бахмацкого). Первые представлены</t>
    </r>
  </si>
  <si>
    <t>лишь 1 раз, а в топ15 лучших отрезков - дважды, то в топ15 по стабильности они засветились 5 раз (трижды Денис и дважды Влад)!</t>
  </si>
  <si>
    <r>
      <t xml:space="preserve">Что касается </t>
    </r>
    <r>
      <rPr>
        <b/>
        <sz val="14"/>
        <color indexed="8"/>
        <rFont val="Calibri"/>
        <family val="2"/>
        <charset val="204"/>
      </rPr>
      <t>стабильности</t>
    </r>
    <r>
      <rPr>
        <sz val="14"/>
        <color indexed="8"/>
        <rFont val="Calibri"/>
        <family val="2"/>
        <charset val="204"/>
      </rPr>
      <t xml:space="preserve">, то здесь однозначно на голову выше конкурентов оказались </t>
    </r>
    <r>
      <rPr>
        <b/>
        <sz val="14"/>
        <color indexed="8"/>
        <rFont val="Calibri"/>
        <family val="2"/>
        <charset val="204"/>
      </rPr>
      <t>Нежданчики</t>
    </r>
    <r>
      <rPr>
        <sz val="14"/>
        <color indexed="8"/>
        <rFont val="Calibri"/>
        <family val="2"/>
        <charset val="204"/>
      </rPr>
      <t xml:space="preserve">, что, вероятно, и обусловило их третье место в гонке. Если в топ15 по ЛК они представлены </t>
    </r>
  </si>
  <si>
    <r>
      <t xml:space="preserve">Только 1 пилот смог показать стабильность выше, чем пилоты-Нежданчики - это </t>
    </r>
    <r>
      <rPr>
        <b/>
        <sz val="14"/>
        <color indexed="8"/>
        <rFont val="Calibri"/>
        <family val="2"/>
        <charset val="204"/>
      </rPr>
      <t>Сергей Стецык из Торнадо</t>
    </r>
    <r>
      <rPr>
        <sz val="14"/>
        <color indexed="8"/>
        <rFont val="Calibri"/>
        <family val="2"/>
        <charset val="204"/>
      </rPr>
      <t>. У него самый стабильный отрезок в гонке (0,220) и лучшая стабильность за все отрезки (0,299)!</t>
    </r>
  </si>
  <si>
    <t xml:space="preserve">Также хочется отметить Олю Резанко, показавшую второй по стабильности отрезок в гонке на самом медленном карте №9 (см. вкладку "ЛК по картам"). </t>
  </si>
  <si>
    <t>5 раз (четыре из которых заслуга Наума), а вторые  - 4 раза (трижды Антон).</t>
  </si>
  <si>
    <t>В отличие от всех предыдущих марафонов, в этом намного сложнее разделить карты на группы по силам.</t>
  </si>
  <si>
    <t>Очевидно, что карты были как никогда близки по скорости между собой, а сделать одни из них более быстрыми</t>
  </si>
  <si>
    <t>в статистике мог быстрый пилот, ехавший на них и не ехавший на других идентичных по скорости картах.</t>
  </si>
  <si>
    <t>Это в первую очередь касается Олега Бахмацкого, Наума и обоих Тандерболтов.</t>
  </si>
  <si>
    <t>Т.е. небольшая разница в картах безусловно была. Но явно выраженных "ракет" или "телег" не было.</t>
  </si>
  <si>
    <t>Можно лишь с определенной уверенностью сказать, что карт №15 был на десятую-полторы быстрее основной массы</t>
  </si>
  <si>
    <t>картов, а карт №9 и возможно карты №3 и №11 на пару десятых медленнее.</t>
  </si>
  <si>
    <t>Что до успешности стратегии выбора картов, преуспели здесь победители - Окаппы. Они выиграли на этом по 0,5 круга у Фиников и Тандерболтов,</t>
  </si>
  <si>
    <t>1:45.64</t>
  </si>
  <si>
    <t>1:45.57</t>
  </si>
  <si>
    <t>1:45.40</t>
  </si>
  <si>
    <t>1:40.63</t>
  </si>
  <si>
    <t>1:43.74</t>
  </si>
  <si>
    <t>1:44.84</t>
  </si>
  <si>
    <t>1:46.56</t>
  </si>
  <si>
    <t>2:45.49</t>
  </si>
  <si>
    <t>Пит стопы</t>
  </si>
  <si>
    <t>1:50.43</t>
  </si>
  <si>
    <t>1:46.59</t>
  </si>
  <si>
    <t>1:46.83</t>
  </si>
  <si>
    <t>1:46.53</t>
  </si>
  <si>
    <t>1:46.25</t>
  </si>
  <si>
    <t>1:45.45</t>
  </si>
  <si>
    <t>1:50.33</t>
  </si>
  <si>
    <t>2:44.80</t>
  </si>
  <si>
    <t>2:13.15</t>
  </si>
  <si>
    <t>1:46.06</t>
  </si>
  <si>
    <t>1:47.72</t>
  </si>
  <si>
    <t>1:44.75</t>
  </si>
  <si>
    <t>1:45.90</t>
  </si>
  <si>
    <t>1:45.42</t>
  </si>
  <si>
    <t>1:45.93</t>
  </si>
  <si>
    <t>2:47.95</t>
  </si>
  <si>
    <t>2:33.27</t>
  </si>
  <si>
    <t>1:51.34</t>
  </si>
  <si>
    <t>1:45.88</t>
  </si>
  <si>
    <t>1:46.05</t>
  </si>
  <si>
    <t>1:44.61</t>
  </si>
  <si>
    <t>1:45.58</t>
  </si>
  <si>
    <t>1:45.68</t>
  </si>
  <si>
    <t>2:44.97</t>
  </si>
  <si>
    <t>2:37.51</t>
  </si>
  <si>
    <t>1:45.66</t>
  </si>
  <si>
    <t>1:45.60</t>
  </si>
  <si>
    <t>1:45.99</t>
  </si>
  <si>
    <t>1:45.82</t>
  </si>
  <si>
    <t>1:45.87</t>
  </si>
  <si>
    <t>2:38.61</t>
  </si>
  <si>
    <t>2:02.13</t>
  </si>
  <si>
    <t>1:50.70</t>
  </si>
  <si>
    <t>1:46.78</t>
  </si>
  <si>
    <t>1:38.97</t>
  </si>
  <si>
    <t>1:42.82</t>
  </si>
  <si>
    <t>1:46.34</t>
  </si>
  <si>
    <t>1:46.13</t>
  </si>
  <si>
    <t>2:45.72</t>
  </si>
  <si>
    <t>1:48.15</t>
  </si>
  <si>
    <t>1:46.99</t>
  </si>
  <si>
    <t>1:48.39</t>
  </si>
  <si>
    <t>1:42.24</t>
  </si>
  <si>
    <t>1:47.62</t>
  </si>
  <si>
    <t>1:51.78</t>
  </si>
  <si>
    <t>1:48.16</t>
  </si>
  <si>
    <t>0:59.66</t>
  </si>
  <si>
    <t>И конечно, нам очень приятно констатировать, что на протяжении гонки не произошло ни одной поломки!</t>
  </si>
  <si>
    <t>Похоже, уровень подготовки и конкурентоспособности картов был идеален для марафонских гонок. ;)</t>
  </si>
  <si>
    <t>(причем на двух из них показал абсолютно лучшие круги в гонке), а также занял 3 из 5 верхних строчек в списке лучших по темпу отрезков в гонке.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</si>
</sst>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[$-F400]h:mm:ss\ AM/PM"/>
    <numFmt numFmtId="165" formatCode="0.000"/>
    <numFmt numFmtId="166" formatCode="0.0"/>
  </numFmts>
  <fonts count="32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strike/>
      <sz val="12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b/>
      <sz val="25"/>
      <color indexed="8"/>
      <name val="Calibri"/>
      <family val="2"/>
      <charset val="204"/>
    </font>
    <font>
      <sz val="12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20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sz val="13"/>
      <color indexed="8"/>
      <name val="Calibri"/>
      <family val="2"/>
      <charset val="204"/>
    </font>
    <font>
      <b/>
      <sz val="13"/>
      <color indexed="10"/>
      <name val="Calibri"/>
      <family val="2"/>
      <charset val="204"/>
    </font>
    <font>
      <sz val="15"/>
      <color indexed="8"/>
      <name val="Calibri"/>
      <family val="2"/>
      <charset val="204"/>
    </font>
    <font>
      <u/>
      <sz val="14"/>
      <color indexed="8"/>
      <name val="Calibri"/>
      <family val="2"/>
      <charset val="204"/>
    </font>
    <font>
      <sz val="11"/>
      <name val="Calibri"/>
      <family val="2"/>
      <charset val="204"/>
    </font>
    <font>
      <sz val="13"/>
      <name val="Calibri"/>
      <family val="2"/>
      <charset val="204"/>
    </font>
    <font>
      <sz val="13"/>
      <color theme="1"/>
      <name val="Calibri"/>
      <family val="2"/>
      <charset val="204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4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0" xfId="0" applyFont="1"/>
    <xf numFmtId="0" fontId="7" fillId="0" borderId="7" xfId="0" applyFont="1" applyBorder="1"/>
    <xf numFmtId="49" fontId="7" fillId="0" borderId="7" xfId="0" applyNumberFormat="1" applyFont="1" applyBorder="1"/>
    <xf numFmtId="0" fontId="7" fillId="0" borderId="7" xfId="0" applyFont="1" applyBorder="1" applyAlignment="1">
      <alignment horizontal="center"/>
    </xf>
    <xf numFmtId="0" fontId="7" fillId="0" borderId="1" xfId="0" applyFont="1" applyBorder="1"/>
    <xf numFmtId="49" fontId="7" fillId="0" borderId="1" xfId="0" applyNumberFormat="1" applyFont="1" applyBorder="1"/>
    <xf numFmtId="0" fontId="7" fillId="0" borderId="2" xfId="0" applyFont="1" applyBorder="1"/>
    <xf numFmtId="49" fontId="7" fillId="0" borderId="2" xfId="0" applyNumberFormat="1" applyFont="1" applyBorder="1"/>
    <xf numFmtId="0" fontId="7" fillId="0" borderId="2" xfId="0" applyFont="1" applyBorder="1" applyAlignment="1">
      <alignment horizontal="center"/>
    </xf>
    <xf numFmtId="0" fontId="7" fillId="0" borderId="6" xfId="0" applyFont="1" applyBorder="1"/>
    <xf numFmtId="49" fontId="7" fillId="0" borderId="6" xfId="0" applyNumberFormat="1" applyFont="1" applyBorder="1"/>
    <xf numFmtId="0" fontId="7" fillId="0" borderId="6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49" fontId="7" fillId="0" borderId="22" xfId="0" applyNumberFormat="1" applyFont="1" applyBorder="1" applyAlignment="1">
      <alignment horizontal="center"/>
    </xf>
    <xf numFmtId="49" fontId="7" fillId="0" borderId="23" xfId="0" applyNumberFormat="1" applyFont="1" applyBorder="1" applyAlignment="1">
      <alignment horizontal="center"/>
    </xf>
    <xf numFmtId="49" fontId="7" fillId="0" borderId="19" xfId="0" applyNumberFormat="1" applyFont="1" applyBorder="1" applyAlignment="1">
      <alignment horizontal="center"/>
    </xf>
    <xf numFmtId="49" fontId="7" fillId="0" borderId="18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/>
    </xf>
    <xf numFmtId="0" fontId="0" fillId="0" borderId="18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1" fillId="0" borderId="37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165" fontId="0" fillId="7" borderId="1" xfId="0" applyNumberForma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2" fontId="16" fillId="0" borderId="6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" fontId="18" fillId="2" borderId="28" xfId="0" applyNumberFormat="1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2" fontId="16" fillId="0" borderId="1" xfId="0" applyNumberFormat="1" applyFont="1" applyFill="1" applyBorder="1" applyAlignment="1">
      <alignment horizontal="center" vertical="center"/>
    </xf>
    <xf numFmtId="165" fontId="8" fillId="0" borderId="41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5" fontId="0" fillId="0" borderId="2" xfId="0" applyNumberFormat="1" applyFill="1" applyBorder="1" applyAlignment="1">
      <alignment horizontal="center" vertical="center"/>
    </xf>
    <xf numFmtId="165" fontId="8" fillId="0" borderId="42" xfId="0" applyNumberFormat="1" applyFont="1" applyFill="1" applyBorder="1" applyAlignment="1">
      <alignment horizontal="center" vertical="center"/>
    </xf>
    <xf numFmtId="2" fontId="20" fillId="0" borderId="46" xfId="0" applyNumberFormat="1" applyFont="1" applyBorder="1" applyAlignment="1">
      <alignment horizontal="center" vertical="center"/>
    </xf>
    <xf numFmtId="165" fontId="20" fillId="0" borderId="4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17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5" fontId="17" fillId="0" borderId="29" xfId="0" applyNumberFormat="1" applyFont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2" fontId="20" fillId="0" borderId="13" xfId="0" applyNumberFormat="1" applyFont="1" applyBorder="1" applyAlignment="1">
      <alignment horizontal="center" vertical="center"/>
    </xf>
    <xf numFmtId="165" fontId="17" fillId="0" borderId="34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5" fontId="0" fillId="0" borderId="7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165" fontId="17" fillId="0" borderId="2" xfId="0" applyNumberFormat="1" applyFont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5" fontId="0" fillId="7" borderId="2" xfId="0" applyNumberForma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165" fontId="17" fillId="0" borderId="4" xfId="0" applyNumberFormat="1" applyFont="1" applyBorder="1" applyAlignment="1">
      <alignment horizontal="center" vertical="center"/>
    </xf>
    <xf numFmtId="165" fontId="17" fillId="0" borderId="28" xfId="0" applyNumberFormat="1" applyFont="1" applyBorder="1" applyAlignment="1">
      <alignment horizontal="center" vertical="center"/>
    </xf>
    <xf numFmtId="2" fontId="16" fillId="0" borderId="19" xfId="0" applyNumberFormat="1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165" fontId="17" fillId="0" borderId="15" xfId="0" applyNumberFormat="1" applyFont="1" applyBorder="1" applyAlignment="1">
      <alignment horizontal="center" vertical="center"/>
    </xf>
    <xf numFmtId="165" fontId="17" fillId="0" borderId="6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65" fontId="20" fillId="0" borderId="28" xfId="0" applyNumberFormat="1" applyFont="1" applyBorder="1" applyAlignment="1">
      <alignment horizontal="center" vertical="center"/>
    </xf>
    <xf numFmtId="2" fontId="16" fillId="0" borderId="15" xfId="0" applyNumberFormat="1" applyFont="1" applyFill="1" applyBorder="1" applyAlignment="1">
      <alignment horizontal="center" vertical="center"/>
    </xf>
    <xf numFmtId="2" fontId="21" fillId="0" borderId="28" xfId="0" applyNumberFormat="1" applyFont="1" applyFill="1" applyBorder="1" applyAlignment="1">
      <alignment horizontal="center" vertical="center"/>
    </xf>
    <xf numFmtId="165" fontId="17" fillId="0" borderId="13" xfId="0" applyNumberFormat="1" applyFont="1" applyBorder="1" applyAlignment="1">
      <alignment horizontal="center" vertical="center"/>
    </xf>
    <xf numFmtId="165" fontId="17" fillId="0" borderId="9" xfId="0" applyNumberFormat="1" applyFont="1" applyBorder="1" applyAlignment="1">
      <alignment horizontal="center" vertical="center"/>
    </xf>
    <xf numFmtId="2" fontId="2" fillId="0" borderId="22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2" fontId="20" fillId="0" borderId="28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165" fontId="17" fillId="0" borderId="49" xfId="0" applyNumberFormat="1" applyFont="1" applyBorder="1" applyAlignment="1">
      <alignment horizontal="center" vertical="center"/>
    </xf>
    <xf numFmtId="0" fontId="22" fillId="2" borderId="28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0" fontId="24" fillId="0" borderId="0" xfId="0" applyFont="1" applyAlignment="1"/>
    <xf numFmtId="0" fontId="25" fillId="0" borderId="0" xfId="0" applyFont="1" applyBorder="1" applyAlignment="1">
      <alignment horizontal="center"/>
    </xf>
    <xf numFmtId="0" fontId="25" fillId="0" borderId="0" xfId="0" applyFont="1" applyAlignment="1">
      <alignment horizontal="center"/>
    </xf>
    <xf numFmtId="0" fontId="0" fillId="0" borderId="0" xfId="0" applyBorder="1" applyAlignment="1">
      <alignment vertical="center"/>
    </xf>
    <xf numFmtId="0" fontId="25" fillId="5" borderId="5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2" fontId="2" fillId="5" borderId="1" xfId="0" applyNumberFormat="1" applyFont="1" applyFill="1" applyBorder="1" applyAlignment="1">
      <alignment horizontal="center" vertical="center"/>
    </xf>
    <xf numFmtId="0" fontId="2" fillId="5" borderId="41" xfId="0" applyFont="1" applyFill="1" applyBorder="1" applyAlignment="1">
      <alignment horizontal="center" vertical="center"/>
    </xf>
    <xf numFmtId="165" fontId="2" fillId="5" borderId="1" xfId="0" applyNumberFormat="1" applyFont="1" applyFill="1" applyBorder="1" applyAlignment="1">
      <alignment horizontal="center" vertical="center"/>
    </xf>
    <xf numFmtId="0" fontId="25" fillId="0" borderId="5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65" fontId="2" fillId="0" borderId="1" xfId="0" applyNumberFormat="1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" fontId="18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0" fillId="0" borderId="33" xfId="0" applyBorder="1" applyAlignment="1">
      <alignment vertical="center"/>
    </xf>
    <xf numFmtId="0" fontId="26" fillId="0" borderId="17" xfId="0" applyFont="1" applyBorder="1" applyAlignment="1">
      <alignment horizontal="center" vertical="center"/>
    </xf>
    <xf numFmtId="0" fontId="25" fillId="0" borderId="52" xfId="0" applyFont="1" applyFill="1" applyBorder="1" applyAlignment="1">
      <alignment vertical="center"/>
    </xf>
    <xf numFmtId="0" fontId="25" fillId="0" borderId="52" xfId="0" applyFont="1" applyFill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4" fillId="0" borderId="17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4" fillId="0" borderId="17" xfId="0" applyFont="1" applyBorder="1" applyAlignment="1">
      <alignment vertical="center"/>
    </xf>
    <xf numFmtId="0" fontId="7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19" fillId="0" borderId="1" xfId="0" applyFont="1" applyBorder="1" applyAlignment="1">
      <alignment horizontal="center"/>
    </xf>
    <xf numFmtId="2" fontId="19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/>
    </xf>
    <xf numFmtId="2" fontId="17" fillId="0" borderId="1" xfId="0" applyNumberFormat="1" applyFont="1" applyBorder="1" applyAlignment="1">
      <alignment horizontal="center"/>
    </xf>
    <xf numFmtId="0" fontId="2" fillId="0" borderId="1" xfId="0" quotePrefix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Font="1"/>
    <xf numFmtId="2" fontId="0" fillId="0" borderId="0" xfId="0" applyNumberFormat="1"/>
    <xf numFmtId="0" fontId="29" fillId="0" borderId="0" xfId="0" applyFont="1" applyAlignment="1">
      <alignment horizontal="center"/>
    </xf>
    <xf numFmtId="0" fontId="25" fillId="0" borderId="0" xfId="0" applyFont="1" applyAlignment="1"/>
    <xf numFmtId="0" fontId="25" fillId="0" borderId="7" xfId="0" applyFont="1" applyFill="1" applyBorder="1" applyAlignment="1">
      <alignment vertical="center"/>
    </xf>
    <xf numFmtId="0" fontId="25" fillId="0" borderId="7" xfId="0" applyFont="1" applyFill="1" applyBorder="1" applyAlignment="1">
      <alignment horizontal="center" vertical="center"/>
    </xf>
    <xf numFmtId="2" fontId="25" fillId="0" borderId="7" xfId="0" applyNumberFormat="1" applyFont="1" applyFill="1" applyBorder="1" applyAlignment="1">
      <alignment horizontal="center" vertical="center"/>
    </xf>
    <xf numFmtId="0" fontId="25" fillId="0" borderId="7" xfId="0" applyFont="1" applyBorder="1" applyAlignment="1">
      <alignment horizontal="left" vertical="center"/>
    </xf>
    <xf numFmtId="0" fontId="25" fillId="0" borderId="1" xfId="0" applyFont="1" applyFill="1" applyBorder="1" applyAlignment="1">
      <alignment vertical="center"/>
    </xf>
    <xf numFmtId="0" fontId="25" fillId="0" borderId="1" xfId="0" applyFont="1" applyFill="1" applyBorder="1" applyAlignment="1">
      <alignment horizontal="center" vertical="center"/>
    </xf>
    <xf numFmtId="2" fontId="25" fillId="0" borderId="1" xfId="0" applyNumberFormat="1" applyFont="1" applyFill="1" applyBorder="1" applyAlignment="1">
      <alignment horizontal="center" vertical="center"/>
    </xf>
    <xf numFmtId="0" fontId="25" fillId="0" borderId="2" xfId="0" applyFont="1" applyBorder="1" applyAlignment="1">
      <alignment horizontal="left" vertical="center"/>
    </xf>
    <xf numFmtId="0" fontId="25" fillId="0" borderId="2" xfId="0" applyFont="1" applyFill="1" applyBorder="1" applyAlignment="1">
      <alignment horizontal="center" vertical="center"/>
    </xf>
    <xf numFmtId="2" fontId="25" fillId="0" borderId="2" xfId="0" applyNumberFormat="1" applyFont="1" applyFill="1" applyBorder="1" applyAlignment="1">
      <alignment horizontal="center" vertical="center"/>
    </xf>
    <xf numFmtId="0" fontId="25" fillId="0" borderId="7" xfId="0" applyFont="1" applyFill="1" applyBorder="1" applyAlignment="1">
      <alignment horizontal="left" vertical="center"/>
    </xf>
    <xf numFmtId="0" fontId="31" fillId="0" borderId="7" xfId="0" applyFont="1" applyFill="1" applyBorder="1" applyAlignment="1">
      <alignment vertical="center"/>
    </xf>
    <xf numFmtId="0" fontId="25" fillId="0" borderId="1" xfId="0" applyFont="1" applyBorder="1" applyAlignment="1">
      <alignment horizontal="left" vertical="center"/>
    </xf>
    <xf numFmtId="0" fontId="25" fillId="0" borderId="2" xfId="0" applyFont="1" applyFill="1" applyBorder="1" applyAlignment="1">
      <alignment vertical="center"/>
    </xf>
    <xf numFmtId="0" fontId="25" fillId="0" borderId="2" xfId="0" applyFont="1" applyFill="1" applyBorder="1" applyAlignment="1">
      <alignment horizontal="left" vertical="center"/>
    </xf>
    <xf numFmtId="0" fontId="25" fillId="0" borderId="1" xfId="0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25" fillId="0" borderId="13" xfId="0" applyFont="1" applyFill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166" fontId="2" fillId="0" borderId="57" xfId="0" applyNumberFormat="1" applyFont="1" applyBorder="1" applyAlignment="1">
      <alignment horizontal="center"/>
    </xf>
    <xf numFmtId="166" fontId="2" fillId="0" borderId="30" xfId="0" applyNumberFormat="1" applyFont="1" applyBorder="1" applyAlignment="1">
      <alignment horizontal="center"/>
    </xf>
    <xf numFmtId="0" fontId="2" fillId="0" borderId="52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2" fontId="2" fillId="0" borderId="41" xfId="0" applyNumberFormat="1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166" fontId="2" fillId="0" borderId="41" xfId="0" applyNumberFormat="1" applyFont="1" applyBorder="1" applyAlignment="1">
      <alignment horizontal="center"/>
    </xf>
    <xf numFmtId="0" fontId="2" fillId="0" borderId="60" xfId="0" applyFont="1" applyBorder="1" applyAlignment="1">
      <alignment horizontal="center" vertical="center"/>
    </xf>
    <xf numFmtId="166" fontId="2" fillId="0" borderId="31" xfId="0" applyNumberFormat="1" applyFont="1" applyBorder="1" applyAlignment="1">
      <alignment horizontal="center"/>
    </xf>
    <xf numFmtId="166" fontId="19" fillId="9" borderId="47" xfId="0" applyNumberFormat="1" applyFont="1" applyFill="1" applyBorder="1" applyAlignment="1">
      <alignment horizontal="center"/>
    </xf>
    <xf numFmtId="166" fontId="21" fillId="0" borderId="42" xfId="0" applyNumberFormat="1" applyFont="1" applyFill="1" applyBorder="1" applyAlignment="1">
      <alignment horizontal="center"/>
    </xf>
    <xf numFmtId="166" fontId="21" fillId="0" borderId="47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Alignment="1">
      <alignment horizontal="center"/>
    </xf>
    <xf numFmtId="0" fontId="2" fillId="0" borderId="4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2" fontId="2" fillId="0" borderId="42" xfId="0" applyNumberFormat="1" applyFont="1" applyBorder="1" applyAlignment="1">
      <alignment horizontal="center"/>
    </xf>
    <xf numFmtId="0" fontId="2" fillId="0" borderId="5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166" fontId="19" fillId="0" borderId="47" xfId="0" applyNumberFormat="1" applyFont="1" applyFill="1" applyBorder="1" applyAlignment="1">
      <alignment horizontal="center"/>
    </xf>
    <xf numFmtId="166" fontId="21" fillId="0" borderId="47" xfId="0" applyNumberFormat="1" applyFont="1" applyBorder="1" applyAlignment="1">
      <alignment horizontal="center"/>
    </xf>
    <xf numFmtId="43" fontId="0" fillId="0" borderId="0" xfId="1" applyFont="1"/>
    <xf numFmtId="0" fontId="2" fillId="0" borderId="2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166" fontId="2" fillId="0" borderId="57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166" fontId="2" fillId="0" borderId="41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/>
    <xf numFmtId="166" fontId="19" fillId="10" borderId="42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166" fontId="19" fillId="0" borderId="0" xfId="0" applyNumberFormat="1" applyFont="1" applyFill="1" applyBorder="1" applyAlignment="1">
      <alignment horizontal="center"/>
    </xf>
    <xf numFmtId="0" fontId="2" fillId="0" borderId="0" xfId="0" applyFont="1" applyAlignment="1"/>
    <xf numFmtId="2" fontId="19" fillId="0" borderId="1" xfId="0" applyNumberFormat="1" applyFont="1" applyFill="1" applyBorder="1" applyAlignment="1">
      <alignment horizontal="center" vertical="center"/>
    </xf>
    <xf numFmtId="1" fontId="2" fillId="0" borderId="41" xfId="0" applyNumberFormat="1" applyFont="1" applyFill="1" applyBorder="1" applyAlignment="1">
      <alignment horizontal="center" vertical="center"/>
    </xf>
    <xf numFmtId="0" fontId="25" fillId="12" borderId="25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vertical="center"/>
    </xf>
    <xf numFmtId="0" fontId="2" fillId="12" borderId="7" xfId="0" applyFont="1" applyFill="1" applyBorder="1" applyAlignment="1">
      <alignment horizontal="center" vertical="center"/>
    </xf>
    <xf numFmtId="2" fontId="18" fillId="12" borderId="7" xfId="0" applyNumberFormat="1" applyFont="1" applyFill="1" applyBorder="1" applyAlignment="1">
      <alignment horizontal="center" vertical="center"/>
    </xf>
    <xf numFmtId="1" fontId="2" fillId="12" borderId="30" xfId="0" applyNumberFormat="1" applyFont="1" applyFill="1" applyBorder="1" applyAlignment="1">
      <alignment horizontal="center" vertical="center"/>
    </xf>
    <xf numFmtId="0" fontId="25" fillId="12" borderId="51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horizontal="center" vertical="center"/>
    </xf>
    <xf numFmtId="2" fontId="2" fillId="12" borderId="1" xfId="0" applyNumberFormat="1" applyFont="1" applyFill="1" applyBorder="1" applyAlignment="1">
      <alignment horizontal="center" vertical="center"/>
    </xf>
    <xf numFmtId="0" fontId="2" fillId="12" borderId="4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left" vertical="center"/>
    </xf>
    <xf numFmtId="0" fontId="2" fillId="12" borderId="1" xfId="0" applyFont="1" applyFill="1" applyBorder="1" applyAlignment="1">
      <alignment vertical="center"/>
    </xf>
    <xf numFmtId="0" fontId="25" fillId="3" borderId="5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2" fontId="18" fillId="3" borderId="1" xfId="0" applyNumberFormat="1" applyFont="1" applyFill="1" applyBorder="1" applyAlignment="1">
      <alignment horizontal="center" vertical="center"/>
    </xf>
    <xf numFmtId="0" fontId="2" fillId="3" borderId="41" xfId="0" applyFont="1" applyFill="1" applyBorder="1" applyAlignment="1">
      <alignment horizontal="center" vertical="center"/>
    </xf>
    <xf numFmtId="0" fontId="25" fillId="13" borderId="51" xfId="0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2" fontId="19" fillId="13" borderId="1" xfId="0" applyNumberFormat="1" applyFont="1" applyFill="1" applyBorder="1" applyAlignment="1">
      <alignment horizontal="center" vertical="center"/>
    </xf>
    <xf numFmtId="0" fontId="2" fillId="13" borderId="41" xfId="0" applyFont="1" applyFill="1" applyBorder="1" applyAlignment="1">
      <alignment horizontal="center" vertical="center"/>
    </xf>
    <xf numFmtId="2" fontId="18" fillId="13" borderId="1" xfId="0" applyNumberFormat="1" applyFont="1" applyFill="1" applyBorder="1" applyAlignment="1">
      <alignment horizontal="center" vertical="center"/>
    </xf>
    <xf numFmtId="0" fontId="2" fillId="15" borderId="1" xfId="0" applyFont="1" applyFill="1" applyBorder="1" applyAlignment="1">
      <alignment vertical="center"/>
    </xf>
    <xf numFmtId="0" fontId="2" fillId="15" borderId="1" xfId="0" applyFont="1" applyFill="1" applyBorder="1" applyAlignment="1">
      <alignment horizontal="center" vertical="center"/>
    </xf>
    <xf numFmtId="2" fontId="18" fillId="15" borderId="1" xfId="0" applyNumberFormat="1" applyFont="1" applyFill="1" applyBorder="1" applyAlignment="1">
      <alignment horizontal="center" vertical="center"/>
    </xf>
    <xf numFmtId="0" fontId="2" fillId="15" borderId="41" xfId="0" applyFont="1" applyFill="1" applyBorder="1" applyAlignment="1">
      <alignment horizontal="center" vertical="center"/>
    </xf>
    <xf numFmtId="1" fontId="2" fillId="13" borderId="41" xfId="0" applyNumberFormat="1" applyFont="1" applyFill="1" applyBorder="1" applyAlignment="1">
      <alignment horizontal="center" vertical="center"/>
    </xf>
    <xf numFmtId="0" fontId="2" fillId="13" borderId="1" xfId="0" applyFont="1" applyFill="1" applyBorder="1" applyAlignment="1">
      <alignment horizontal="left" vertical="center"/>
    </xf>
    <xf numFmtId="2" fontId="2" fillId="13" borderId="1" xfId="0" applyNumberFormat="1" applyFont="1" applyFill="1" applyBorder="1" applyAlignment="1">
      <alignment horizontal="center" vertical="center"/>
    </xf>
    <xf numFmtId="0" fontId="25" fillId="13" borderId="3" xfId="0" applyFont="1" applyFill="1" applyBorder="1" applyAlignment="1">
      <alignment horizontal="center" vertical="center"/>
    </xf>
    <xf numFmtId="0" fontId="2" fillId="13" borderId="2" xfId="0" applyFont="1" applyFill="1" applyBorder="1" applyAlignment="1">
      <alignment vertical="center"/>
    </xf>
    <xf numFmtId="0" fontId="2" fillId="13" borderId="2" xfId="0" applyFont="1" applyFill="1" applyBorder="1" applyAlignment="1">
      <alignment horizontal="center" vertical="center"/>
    </xf>
    <xf numFmtId="1" fontId="2" fillId="13" borderId="31" xfId="0" applyNumberFormat="1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/>
    </xf>
    <xf numFmtId="2" fontId="18" fillId="11" borderId="2" xfId="0" applyNumberFormat="1" applyFont="1" applyFill="1" applyBorder="1" applyAlignment="1">
      <alignment horizontal="center" vertical="center"/>
    </xf>
    <xf numFmtId="1" fontId="2" fillId="11" borderId="31" xfId="0" applyNumberFormat="1" applyFont="1" applyFill="1" applyBorder="1" applyAlignment="1">
      <alignment horizontal="center" vertical="center"/>
    </xf>
    <xf numFmtId="0" fontId="25" fillId="13" borderId="51" xfId="0" quotePrefix="1" applyFont="1" applyFill="1" applyBorder="1" applyAlignment="1">
      <alignment horizontal="center" vertical="center"/>
    </xf>
    <xf numFmtId="0" fontId="25" fillId="12" borderId="51" xfId="0" quotePrefix="1" applyFont="1" applyFill="1" applyBorder="1" applyAlignment="1">
      <alignment horizontal="center" vertical="center"/>
    </xf>
    <xf numFmtId="0" fontId="25" fillId="15" borderId="51" xfId="0" quotePrefix="1" applyFont="1" applyFill="1" applyBorder="1" applyAlignment="1">
      <alignment horizontal="center" vertical="center"/>
    </xf>
    <xf numFmtId="0" fontId="25" fillId="0" borderId="51" xfId="0" quotePrefix="1" applyFont="1" applyFill="1" applyBorder="1" applyAlignment="1">
      <alignment horizontal="center" vertical="center"/>
    </xf>
    <xf numFmtId="0" fontId="25" fillId="11" borderId="3" xfId="0" quotePrefix="1" applyFont="1" applyFill="1" applyBorder="1" applyAlignment="1">
      <alignment horizontal="center" vertical="center"/>
    </xf>
    <xf numFmtId="1" fontId="2" fillId="0" borderId="22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vertical="center"/>
    </xf>
    <xf numFmtId="0" fontId="25" fillId="0" borderId="15" xfId="0" applyFont="1" applyFill="1" applyBorder="1" applyAlignment="1">
      <alignment horizontal="center" vertical="center"/>
    </xf>
    <xf numFmtId="2" fontId="25" fillId="0" borderId="15" xfId="0" applyNumberFormat="1" applyFont="1" applyFill="1" applyBorder="1" applyAlignment="1">
      <alignment horizontal="center" vertical="center"/>
    </xf>
    <xf numFmtId="0" fontId="23" fillId="0" borderId="0" xfId="0" applyFont="1" applyAlignment="1"/>
    <xf numFmtId="166" fontId="2" fillId="16" borderId="57" xfId="0" applyNumberFormat="1" applyFont="1" applyFill="1" applyBorder="1" applyAlignment="1">
      <alignment horizontal="center"/>
    </xf>
    <xf numFmtId="166" fontId="2" fillId="16" borderId="41" xfId="0" applyNumberFormat="1" applyFont="1" applyFill="1" applyBorder="1" applyAlignment="1">
      <alignment horizontal="center"/>
    </xf>
    <xf numFmtId="166" fontId="2" fillId="6" borderId="57" xfId="0" applyNumberFormat="1" applyFont="1" applyFill="1" applyBorder="1" applyAlignment="1">
      <alignment horizontal="center"/>
    </xf>
    <xf numFmtId="0" fontId="25" fillId="5" borderId="25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vertical="center"/>
    </xf>
    <xf numFmtId="0" fontId="2" fillId="5" borderId="7" xfId="0" applyFont="1" applyFill="1" applyBorder="1" applyAlignment="1">
      <alignment horizontal="center" vertical="center"/>
    </xf>
    <xf numFmtId="1" fontId="2" fillId="5" borderId="30" xfId="0" applyNumberFormat="1" applyFont="1" applyFill="1" applyBorder="1" applyAlignment="1">
      <alignment horizontal="center" vertical="center"/>
    </xf>
    <xf numFmtId="2" fontId="2" fillId="12" borderId="7" xfId="0" applyNumberFormat="1" applyFont="1" applyFill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13" borderId="2" xfId="0" applyFont="1" applyFill="1" applyBorder="1" applyAlignment="1">
      <alignment horizontal="left" vertical="center"/>
    </xf>
    <xf numFmtId="2" fontId="2" fillId="13" borderId="2" xfId="0" applyNumberFormat="1" applyFont="1" applyFill="1" applyBorder="1" applyAlignment="1">
      <alignment horizontal="center" vertical="center"/>
    </xf>
    <xf numFmtId="0" fontId="2" fillId="13" borderId="31" xfId="0" applyFont="1" applyFill="1" applyBorder="1" applyAlignment="1">
      <alignment horizontal="center" vertical="center"/>
    </xf>
    <xf numFmtId="165" fontId="2" fillId="5" borderId="7" xfId="0" applyNumberFormat="1" applyFont="1" applyFill="1" applyBorder="1" applyAlignment="1">
      <alignment horizontal="center" vertical="center"/>
    </xf>
    <xf numFmtId="165" fontId="2" fillId="12" borderId="1" xfId="0" applyNumberFormat="1" applyFont="1" applyFill="1" applyBorder="1" applyAlignment="1">
      <alignment horizontal="center" vertical="center"/>
    </xf>
    <xf numFmtId="165" fontId="2" fillId="13" borderId="1" xfId="0" applyNumberFormat="1" applyFont="1" applyFill="1" applyBorder="1" applyAlignment="1">
      <alignment horizontal="center" vertical="center"/>
    </xf>
    <xf numFmtId="165" fontId="2" fillId="13" borderId="2" xfId="0" applyNumberFormat="1" applyFont="1" applyFill="1" applyBorder="1" applyAlignment="1">
      <alignment horizontal="center" vertical="center"/>
    </xf>
    <xf numFmtId="165" fontId="2" fillId="3" borderId="1" xfId="0" applyNumberFormat="1" applyFont="1" applyFill="1" applyBorder="1" applyAlignment="1">
      <alignment horizontal="center" vertical="center"/>
    </xf>
    <xf numFmtId="1" fontId="2" fillId="3" borderId="41" xfId="0" applyNumberFormat="1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49" fontId="0" fillId="0" borderId="22" xfId="0" applyNumberForma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18" xfId="0" applyBorder="1" applyAlignment="1">
      <alignment horizontal="left" vertical="center"/>
    </xf>
    <xf numFmtId="0" fontId="0" fillId="0" borderId="4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2" fontId="0" fillId="0" borderId="51" xfId="0" applyNumberFormat="1" applyBorder="1" applyAlignment="1">
      <alignment horizontal="center" vertical="center"/>
    </xf>
    <xf numFmtId="0" fontId="0" fillId="17" borderId="51" xfId="0" applyFill="1" applyBorder="1" applyAlignment="1">
      <alignment horizontal="center" vertical="center"/>
    </xf>
    <xf numFmtId="0" fontId="0" fillId="17" borderId="41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2" fontId="0" fillId="0" borderId="51" xfId="0" applyNumberForma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5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0" xfId="0" applyFill="1" applyBorder="1" applyAlignment="1"/>
    <xf numFmtId="0" fontId="7" fillId="0" borderId="11" xfId="0" applyFont="1" applyBorder="1"/>
    <xf numFmtId="0" fontId="7" fillId="0" borderId="61" xfId="0" applyFont="1" applyBorder="1"/>
    <xf numFmtId="49" fontId="7" fillId="0" borderId="30" xfId="0" applyNumberFormat="1" applyFont="1" applyBorder="1" applyAlignment="1">
      <alignment horizontal="center"/>
    </xf>
    <xf numFmtId="49" fontId="7" fillId="0" borderId="37" xfId="0" applyNumberFormat="1" applyFont="1" applyBorder="1" applyAlignment="1">
      <alignment horizontal="center"/>
    </xf>
    <xf numFmtId="49" fontId="7" fillId="0" borderId="31" xfId="0" applyNumberFormat="1" applyFont="1" applyBorder="1" applyAlignment="1">
      <alignment horizontal="center"/>
    </xf>
    <xf numFmtId="49" fontId="7" fillId="0" borderId="57" xfId="0" applyNumberFormat="1" applyFont="1" applyBorder="1" applyAlignment="1">
      <alignment horizontal="center"/>
    </xf>
    <xf numFmtId="0" fontId="9" fillId="0" borderId="57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2" fontId="9" fillId="0" borderId="5" xfId="0" applyNumberFormat="1" applyFont="1" applyBorder="1" applyAlignment="1">
      <alignment horizontal="center"/>
    </xf>
    <xf numFmtId="2" fontId="9" fillId="0" borderId="3" xfId="0" applyNumberFormat="1" applyFont="1" applyBorder="1" applyAlignment="1">
      <alignment horizontal="center"/>
    </xf>
    <xf numFmtId="0" fontId="7" fillId="0" borderId="4" xfId="0" applyFont="1" applyBorder="1"/>
    <xf numFmtId="49" fontId="7" fillId="0" borderId="4" xfId="0" applyNumberFormat="1" applyFont="1" applyBorder="1"/>
    <xf numFmtId="0" fontId="7" fillId="0" borderId="4" xfId="0" applyFont="1" applyBorder="1" applyAlignment="1">
      <alignment horizontal="center"/>
    </xf>
    <xf numFmtId="0" fontId="7" fillId="0" borderId="62" xfId="0" applyFont="1" applyBorder="1" applyAlignment="1">
      <alignment horizontal="center"/>
    </xf>
    <xf numFmtId="0" fontId="7" fillId="0" borderId="46" xfId="0" applyFont="1" applyBorder="1" applyAlignment="1">
      <alignment horizontal="center"/>
    </xf>
    <xf numFmtId="0" fontId="7" fillId="0" borderId="63" xfId="0" applyFont="1" applyBorder="1" applyAlignment="1">
      <alignment horizontal="center"/>
    </xf>
    <xf numFmtId="0" fontId="7" fillId="0" borderId="47" xfId="0" applyFont="1" applyBorder="1" applyAlignment="1">
      <alignment horizontal="center"/>
    </xf>
    <xf numFmtId="2" fontId="0" fillId="0" borderId="18" xfId="0" applyNumberFormat="1" applyFill="1" applyBorder="1" applyAlignment="1">
      <alignment horizontal="center" vertical="center"/>
    </xf>
    <xf numFmtId="0" fontId="17" fillId="0" borderId="0" xfId="0" applyFont="1" applyAlignment="1"/>
    <xf numFmtId="0" fontId="17" fillId="0" borderId="0" xfId="0" applyFont="1" applyFill="1" applyBorder="1" applyAlignment="1"/>
    <xf numFmtId="0" fontId="19" fillId="0" borderId="10" xfId="0" applyFont="1" applyBorder="1" applyAlignment="1">
      <alignment horizontal="center" wrapText="1"/>
    </xf>
    <xf numFmtId="0" fontId="19" fillId="0" borderId="42" xfId="0" applyFont="1" applyBorder="1" applyAlignment="1">
      <alignment horizontal="center" wrapText="1"/>
    </xf>
    <xf numFmtId="0" fontId="2" fillId="0" borderId="0" xfId="0" applyFont="1" applyFill="1" applyBorder="1" applyAlignment="1"/>
    <xf numFmtId="0" fontId="4" fillId="0" borderId="0" xfId="0" applyFont="1" applyAlignment="1"/>
    <xf numFmtId="164" fontId="2" fillId="0" borderId="1" xfId="0" applyNumberFormat="1" applyFont="1" applyFill="1" applyBorder="1" applyAlignment="1">
      <alignment horizontal="center" vertical="center"/>
    </xf>
    <xf numFmtId="164" fontId="2" fillId="14" borderId="2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8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/>
    </xf>
    <xf numFmtId="0" fontId="25" fillId="0" borderId="53" xfId="0" applyFont="1" applyBorder="1" applyAlignment="1">
      <alignment horizontal="center"/>
    </xf>
    <xf numFmtId="0" fontId="25" fillId="0" borderId="54" xfId="0" applyFont="1" applyBorder="1" applyAlignment="1">
      <alignment horizontal="center"/>
    </xf>
    <xf numFmtId="0" fontId="25" fillId="0" borderId="8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2" fontId="25" fillId="0" borderId="38" xfId="0" applyNumberFormat="1" applyFont="1" applyBorder="1" applyAlignment="1">
      <alignment horizontal="center" vertical="center"/>
    </xf>
    <xf numFmtId="2" fontId="25" fillId="0" borderId="40" xfId="0" applyNumberFormat="1" applyFont="1" applyBorder="1" applyAlignment="1">
      <alignment horizontal="center" vertical="center"/>
    </xf>
    <xf numFmtId="2" fontId="25" fillId="0" borderId="42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55" xfId="0" applyFont="1" applyBorder="1" applyAlignment="1">
      <alignment horizontal="center" vertical="center"/>
    </xf>
    <xf numFmtId="0" fontId="19" fillId="0" borderId="56" xfId="0" applyFont="1" applyBorder="1" applyAlignment="1">
      <alignment horizontal="center" vertical="center"/>
    </xf>
    <xf numFmtId="0" fontId="19" fillId="0" borderId="35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/>
    </xf>
    <xf numFmtId="0" fontId="19" fillId="0" borderId="55" xfId="0" applyFont="1" applyBorder="1" applyAlignment="1">
      <alignment horizontal="center"/>
    </xf>
    <xf numFmtId="0" fontId="19" fillId="0" borderId="56" xfId="0" applyFont="1" applyBorder="1" applyAlignment="1">
      <alignment horizontal="center"/>
    </xf>
    <xf numFmtId="0" fontId="19" fillId="0" borderId="35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9" fillId="0" borderId="8" xfId="0" applyFont="1" applyBorder="1" applyAlignment="1">
      <alignment horizontal="center" vertical="center" wrapText="1"/>
    </xf>
    <xf numFmtId="0" fontId="0" fillId="0" borderId="16" xfId="0" applyBorder="1"/>
    <xf numFmtId="0" fontId="0" fillId="0" borderId="10" xfId="0" applyBorder="1"/>
    <xf numFmtId="0" fontId="19" fillId="0" borderId="24" xfId="0" applyFont="1" applyBorder="1" applyAlignment="1">
      <alignment horizontal="center" vertical="center"/>
    </xf>
    <xf numFmtId="0" fontId="0" fillId="0" borderId="64" xfId="0" applyBorder="1"/>
    <xf numFmtId="0" fontId="0" fillId="0" borderId="50" xfId="0" applyBorder="1"/>
    <xf numFmtId="0" fontId="19" fillId="0" borderId="11" xfId="0" applyFont="1" applyBorder="1" applyAlignment="1">
      <alignment horizontal="center" vertical="center" wrapText="1"/>
    </xf>
    <xf numFmtId="0" fontId="0" fillId="0" borderId="27" xfId="0" applyBorder="1"/>
    <xf numFmtId="0" fontId="0" fillId="0" borderId="65" xfId="0" applyBorder="1"/>
    <xf numFmtId="0" fontId="0" fillId="0" borderId="58" xfId="0" applyBorder="1"/>
    <xf numFmtId="0" fontId="2" fillId="0" borderId="5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166" fontId="2" fillId="0" borderId="5" xfId="0" applyNumberFormat="1" applyFont="1" applyBorder="1" applyAlignment="1">
      <alignment horizontal="center" vertical="center"/>
    </xf>
    <xf numFmtId="166" fontId="2" fillId="0" borderId="38" xfId="0" applyNumberFormat="1" applyFont="1" applyBorder="1" applyAlignment="1">
      <alignment horizontal="center" vertical="center"/>
    </xf>
    <xf numFmtId="166" fontId="2" fillId="0" borderId="57" xfId="0" applyNumberFormat="1" applyFont="1" applyBorder="1" applyAlignment="1">
      <alignment horizontal="center" vertical="center"/>
    </xf>
    <xf numFmtId="166" fontId="2" fillId="0" borderId="41" xfId="0" applyNumberFormat="1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/>
    </xf>
    <xf numFmtId="0" fontId="19" fillId="0" borderId="45" xfId="0" applyFont="1" applyBorder="1" applyAlignment="1">
      <alignment horizontal="center"/>
    </xf>
    <xf numFmtId="166" fontId="2" fillId="0" borderId="51" xfId="0" applyNumberFormat="1" applyFont="1" applyBorder="1" applyAlignment="1">
      <alignment horizontal="center" vertical="center"/>
    </xf>
    <xf numFmtId="0" fontId="19" fillId="0" borderId="48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166" fontId="2" fillId="0" borderId="37" xfId="0" applyNumberFormat="1" applyFont="1" applyBorder="1" applyAlignment="1">
      <alignment horizontal="center" vertical="center"/>
    </xf>
    <xf numFmtId="166" fontId="2" fillId="0" borderId="42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3" xfId="0" applyFont="1" applyBorder="1" applyAlignment="1">
      <alignment horizontal="left" vertical="center"/>
    </xf>
    <xf numFmtId="166" fontId="2" fillId="0" borderId="26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6" fontId="2" fillId="0" borderId="40" xfId="0" applyNumberFormat="1" applyFont="1" applyBorder="1" applyAlignment="1">
      <alignment horizontal="center" vertical="center"/>
    </xf>
    <xf numFmtId="0" fontId="5" fillId="0" borderId="33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textRotation="90"/>
    </xf>
    <xf numFmtId="0" fontId="15" fillId="0" borderId="39" xfId="0" applyFont="1" applyBorder="1" applyAlignment="1">
      <alignment horizontal="center" vertical="center" textRotation="90"/>
    </xf>
    <xf numFmtId="0" fontId="15" fillId="0" borderId="21" xfId="0" applyFont="1" applyBorder="1" applyAlignment="1">
      <alignment horizontal="center" vertical="center" textRotation="90"/>
    </xf>
    <xf numFmtId="0" fontId="20" fillId="0" borderId="43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workbookViewId="0">
      <selection activeCell="D18" sqref="D18"/>
    </sheetView>
  </sheetViews>
  <sheetFormatPr defaultRowHeight="15"/>
  <cols>
    <col min="1" max="1" width="7.140625" customWidth="1"/>
    <col min="2" max="2" width="19" customWidth="1"/>
    <col min="3" max="3" width="24.85546875" bestFit="1" customWidth="1"/>
    <col min="4" max="4" width="5" bestFit="1" customWidth="1"/>
    <col min="5" max="5" width="5.5703125" bestFit="1" customWidth="1"/>
    <col min="6" max="6" width="8.140625" bestFit="1" customWidth="1"/>
    <col min="7" max="7" width="9" customWidth="1"/>
    <col min="8" max="8" width="8.140625" customWidth="1"/>
  </cols>
  <sheetData>
    <row r="1" spans="1:8" ht="19.5" thickBot="1">
      <c r="A1" s="308"/>
      <c r="B1" s="309"/>
      <c r="C1" s="309"/>
      <c r="D1" s="309"/>
      <c r="E1" s="309"/>
      <c r="F1" s="309"/>
      <c r="G1" s="336" t="s">
        <v>55</v>
      </c>
      <c r="H1" s="337"/>
    </row>
    <row r="2" spans="1:8" ht="19.5" thickBot="1">
      <c r="A2" s="323" t="s">
        <v>3</v>
      </c>
      <c r="B2" s="324" t="s">
        <v>6</v>
      </c>
      <c r="C2" s="324" t="s">
        <v>2</v>
      </c>
      <c r="D2" s="324" t="s">
        <v>3</v>
      </c>
      <c r="E2" s="324" t="s">
        <v>4</v>
      </c>
      <c r="F2" s="325" t="s">
        <v>5</v>
      </c>
      <c r="G2" s="323" t="s">
        <v>53</v>
      </c>
      <c r="H2" s="326" t="s">
        <v>54</v>
      </c>
    </row>
    <row r="3" spans="1:8" ht="23.1" customHeight="1">
      <c r="A3" s="343">
        <v>1</v>
      </c>
      <c r="B3" s="340" t="s">
        <v>24</v>
      </c>
      <c r="C3" s="320" t="s">
        <v>25</v>
      </c>
      <c r="D3" s="321" t="s">
        <v>21</v>
      </c>
      <c r="E3" s="322">
        <v>104</v>
      </c>
      <c r="F3" s="27" t="s">
        <v>46</v>
      </c>
      <c r="G3" s="318">
        <v>42.31</v>
      </c>
      <c r="H3" s="313" t="s">
        <v>36</v>
      </c>
    </row>
    <row r="4" spans="1:8" ht="23.1" customHeight="1" thickBot="1">
      <c r="A4" s="343"/>
      <c r="B4" s="340"/>
      <c r="C4" s="15" t="s">
        <v>26</v>
      </c>
      <c r="D4" s="16" t="s">
        <v>20</v>
      </c>
      <c r="E4" s="17">
        <v>95</v>
      </c>
      <c r="F4" s="23" t="s">
        <v>46</v>
      </c>
      <c r="G4" s="319">
        <v>42.16</v>
      </c>
      <c r="H4" s="311" t="s">
        <v>56</v>
      </c>
    </row>
    <row r="5" spans="1:8" ht="23.1" customHeight="1">
      <c r="A5" s="338">
        <v>2</v>
      </c>
      <c r="B5" s="341" t="s">
        <v>50</v>
      </c>
      <c r="C5" s="7" t="s">
        <v>47</v>
      </c>
      <c r="D5" s="8" t="s">
        <v>18</v>
      </c>
      <c r="E5" s="9">
        <v>81</v>
      </c>
      <c r="F5" s="21" t="s">
        <v>46</v>
      </c>
      <c r="G5" s="318">
        <v>41.68</v>
      </c>
      <c r="H5" s="310" t="s">
        <v>40</v>
      </c>
    </row>
    <row r="6" spans="1:8" ht="23.1" customHeight="1" thickBot="1">
      <c r="A6" s="343"/>
      <c r="B6" s="340"/>
      <c r="C6" s="15" t="s">
        <v>48</v>
      </c>
      <c r="D6" s="16" t="s">
        <v>19</v>
      </c>
      <c r="E6" s="17">
        <v>61</v>
      </c>
      <c r="F6" s="23" t="s">
        <v>49</v>
      </c>
      <c r="G6" s="319">
        <v>41.68</v>
      </c>
      <c r="H6" s="311" t="s">
        <v>57</v>
      </c>
    </row>
    <row r="7" spans="1:8" ht="23.1" customHeight="1">
      <c r="A7" s="338">
        <v>4</v>
      </c>
      <c r="B7" s="341" t="s">
        <v>13</v>
      </c>
      <c r="C7" s="7" t="s">
        <v>14</v>
      </c>
      <c r="D7" s="8" t="s">
        <v>15</v>
      </c>
      <c r="E7" s="9">
        <v>69</v>
      </c>
      <c r="F7" s="21" t="s">
        <v>38</v>
      </c>
      <c r="G7" s="318">
        <v>41.7</v>
      </c>
      <c r="H7" s="310" t="s">
        <v>58</v>
      </c>
    </row>
    <row r="8" spans="1:8" ht="23.1" customHeight="1" thickBot="1">
      <c r="A8" s="339"/>
      <c r="B8" s="342"/>
      <c r="C8" s="12" t="s">
        <v>16</v>
      </c>
      <c r="D8" s="13" t="s">
        <v>17</v>
      </c>
      <c r="E8" s="14">
        <v>77</v>
      </c>
      <c r="F8" s="22" t="s">
        <v>40</v>
      </c>
      <c r="G8" s="319">
        <v>41.14</v>
      </c>
      <c r="H8" s="312" t="s">
        <v>59</v>
      </c>
    </row>
    <row r="9" spans="1:8" ht="23.1" customHeight="1">
      <c r="A9" s="338">
        <v>5</v>
      </c>
      <c r="B9" s="341" t="s">
        <v>8</v>
      </c>
      <c r="C9" s="7" t="s">
        <v>10</v>
      </c>
      <c r="D9" s="8" t="s">
        <v>11</v>
      </c>
      <c r="E9" s="9">
        <v>83</v>
      </c>
      <c r="F9" s="21" t="s">
        <v>46</v>
      </c>
      <c r="G9" s="318">
        <v>41.73</v>
      </c>
      <c r="H9" s="313" t="s">
        <v>60</v>
      </c>
    </row>
    <row r="10" spans="1:8" ht="23.1" customHeight="1" thickBot="1">
      <c r="A10" s="339"/>
      <c r="B10" s="342"/>
      <c r="C10" s="12" t="s">
        <v>9</v>
      </c>
      <c r="D10" s="13" t="s">
        <v>12</v>
      </c>
      <c r="E10" s="14">
        <v>70</v>
      </c>
      <c r="F10" s="22" t="s">
        <v>39</v>
      </c>
      <c r="G10" s="319">
        <v>41.63</v>
      </c>
      <c r="H10" s="312" t="s">
        <v>61</v>
      </c>
    </row>
    <row r="11" spans="1:8" ht="23.1" customHeight="1">
      <c r="A11" s="338">
        <v>6</v>
      </c>
      <c r="B11" s="341" t="s">
        <v>43</v>
      </c>
      <c r="C11" s="7" t="s">
        <v>44</v>
      </c>
      <c r="D11" s="8" t="s">
        <v>22</v>
      </c>
      <c r="E11" s="7">
        <v>80</v>
      </c>
      <c r="F11" s="21" t="s">
        <v>46</v>
      </c>
      <c r="G11" s="318">
        <v>41.2</v>
      </c>
      <c r="H11" s="314">
        <v>10</v>
      </c>
    </row>
    <row r="12" spans="1:8" ht="23.1" customHeight="1" thickBot="1">
      <c r="A12" s="343"/>
      <c r="B12" s="340"/>
      <c r="C12" s="15" t="s">
        <v>45</v>
      </c>
      <c r="D12" s="16" t="s">
        <v>23</v>
      </c>
      <c r="E12" s="15">
        <v>80</v>
      </c>
      <c r="F12" s="23" t="s">
        <v>46</v>
      </c>
      <c r="G12" s="319">
        <v>41.45</v>
      </c>
      <c r="H12" s="315">
        <v>11</v>
      </c>
    </row>
    <row r="13" spans="1:8" ht="23.1" customHeight="1">
      <c r="A13" s="338">
        <v>7</v>
      </c>
      <c r="B13" s="341" t="s">
        <v>42</v>
      </c>
      <c r="C13" s="7" t="s">
        <v>31</v>
      </c>
      <c r="D13" s="8" t="s">
        <v>29</v>
      </c>
      <c r="E13" s="7">
        <v>65</v>
      </c>
      <c r="F13" s="21" t="s">
        <v>41</v>
      </c>
      <c r="G13" s="318">
        <v>41.73</v>
      </c>
      <c r="H13" s="314">
        <v>13</v>
      </c>
    </row>
    <row r="14" spans="1:8" ht="23.1" customHeight="1" thickBot="1">
      <c r="A14" s="343"/>
      <c r="B14" s="340"/>
      <c r="C14" s="10" t="s">
        <v>32</v>
      </c>
      <c r="D14" s="11" t="s">
        <v>34</v>
      </c>
      <c r="E14" s="10">
        <v>78</v>
      </c>
      <c r="F14" s="24" t="s">
        <v>36</v>
      </c>
      <c r="G14" s="319">
        <v>41.39</v>
      </c>
      <c r="H14" s="316">
        <v>14</v>
      </c>
    </row>
    <row r="15" spans="1:8" ht="23.1" customHeight="1">
      <c r="A15" s="338">
        <v>8</v>
      </c>
      <c r="B15" s="341" t="s">
        <v>27</v>
      </c>
      <c r="C15" s="7" t="s">
        <v>28</v>
      </c>
      <c r="D15" s="8" t="s">
        <v>30</v>
      </c>
      <c r="E15" s="7">
        <v>72</v>
      </c>
      <c r="F15" s="21" t="s">
        <v>37</v>
      </c>
      <c r="G15" s="318">
        <v>41.44</v>
      </c>
      <c r="H15" s="317">
        <v>21</v>
      </c>
    </row>
    <row r="16" spans="1:8" ht="23.1" customHeight="1" thickBot="1">
      <c r="A16" s="339"/>
      <c r="B16" s="342"/>
      <c r="C16" s="12" t="s">
        <v>33</v>
      </c>
      <c r="D16" s="13" t="s">
        <v>35</v>
      </c>
      <c r="E16" s="12">
        <v>84</v>
      </c>
      <c r="F16" s="22" t="s">
        <v>46</v>
      </c>
      <c r="G16" s="319">
        <v>41.33</v>
      </c>
      <c r="H16" s="315">
        <v>15</v>
      </c>
    </row>
  </sheetData>
  <mergeCells count="15">
    <mergeCell ref="B11:B12"/>
    <mergeCell ref="A13:A14"/>
    <mergeCell ref="B13:B14"/>
    <mergeCell ref="A11:A12"/>
    <mergeCell ref="A15:A16"/>
    <mergeCell ref="B15:B16"/>
    <mergeCell ref="G1:H1"/>
    <mergeCell ref="A9:A10"/>
    <mergeCell ref="B3:B4"/>
    <mergeCell ref="B5:B6"/>
    <mergeCell ref="B7:B8"/>
    <mergeCell ref="B9:B10"/>
    <mergeCell ref="A3:A4"/>
    <mergeCell ref="A5:A6"/>
    <mergeCell ref="A7:A8"/>
  </mergeCells>
  <phoneticPr fontId="6" type="noConversion"/>
  <pageMargins left="0.78740157480314965" right="0.78740157480314965" top="0.98425196850393704" bottom="0.98425196850393704" header="0.51181102362204722" footer="0.51181102362204722"/>
  <pageSetup paperSize="9" scale="87" orientation="landscape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5"/>
  <sheetViews>
    <sheetView tabSelected="1" workbookViewId="0">
      <selection activeCell="A17" sqref="A17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" style="1" customWidth="1"/>
    <col min="6" max="6" width="10.42578125" style="1" customWidth="1"/>
    <col min="7" max="7" width="17" style="1" customWidth="1"/>
    <col min="8" max="8" width="14.7109375" style="1" customWidth="1"/>
    <col min="9" max="9" width="11.140625" style="1" customWidth="1"/>
    <col min="10" max="10" width="9" style="1" customWidth="1"/>
  </cols>
  <sheetData>
    <row r="1" spans="1:10" ht="19.5">
      <c r="A1" s="344" t="s">
        <v>125</v>
      </c>
      <c r="B1" s="344"/>
      <c r="C1" s="344"/>
      <c r="D1" s="344"/>
      <c r="E1" s="344"/>
      <c r="F1" s="344"/>
      <c r="G1" s="344"/>
      <c r="H1" s="344"/>
      <c r="I1" s="344"/>
      <c r="J1" s="344"/>
    </row>
    <row r="2" spans="1:10" ht="17.25">
      <c r="A2" s="345" t="s">
        <v>124</v>
      </c>
      <c r="B2" s="345"/>
      <c r="C2" s="345"/>
      <c r="D2" s="345"/>
      <c r="E2" s="345"/>
      <c r="F2" s="345"/>
      <c r="G2" s="345"/>
      <c r="H2" s="345"/>
      <c r="I2" s="345"/>
      <c r="J2" s="345"/>
    </row>
    <row r="3" spans="1:10" ht="6" customHeight="1" thickBot="1"/>
    <row r="4" spans="1:10" s="2" customFormat="1">
      <c r="A4" s="346" t="s">
        <v>110</v>
      </c>
      <c r="B4" s="348" t="s">
        <v>91</v>
      </c>
      <c r="C4" s="350" t="s">
        <v>117</v>
      </c>
      <c r="D4" s="346" t="s">
        <v>55</v>
      </c>
      <c r="E4" s="352"/>
      <c r="F4" s="353" t="s">
        <v>118</v>
      </c>
      <c r="G4" s="354"/>
      <c r="H4" s="348"/>
      <c r="I4" s="346" t="s">
        <v>119</v>
      </c>
      <c r="J4" s="352"/>
    </row>
    <row r="5" spans="1:10" s="59" customFormat="1" ht="15.75" thickBot="1">
      <c r="A5" s="347"/>
      <c r="B5" s="349"/>
      <c r="C5" s="351"/>
      <c r="D5" s="72" t="s">
        <v>106</v>
      </c>
      <c r="E5" s="284" t="s">
        <v>110</v>
      </c>
      <c r="F5" s="285" t="s">
        <v>111</v>
      </c>
      <c r="G5" s="286" t="s">
        <v>120</v>
      </c>
      <c r="H5" s="286" t="s">
        <v>126</v>
      </c>
      <c r="I5" s="72" t="s">
        <v>106</v>
      </c>
      <c r="J5" s="284" t="s">
        <v>121</v>
      </c>
    </row>
    <row r="6" spans="1:10" s="2" customFormat="1" ht="24.95" customHeight="1">
      <c r="A6" s="34">
        <v>1</v>
      </c>
      <c r="B6" s="287" t="s">
        <v>13</v>
      </c>
      <c r="C6" s="288">
        <v>4</v>
      </c>
      <c r="D6" s="289">
        <v>41.42</v>
      </c>
      <c r="E6" s="288">
        <v>3</v>
      </c>
      <c r="F6" s="290">
        <v>334</v>
      </c>
      <c r="G6" s="291" t="s">
        <v>127</v>
      </c>
      <c r="H6" s="291" t="s">
        <v>127</v>
      </c>
      <c r="I6" s="289">
        <v>40.93</v>
      </c>
      <c r="J6" s="288">
        <v>24</v>
      </c>
    </row>
    <row r="7" spans="1:10" s="2" customFormat="1" ht="24.95" customHeight="1">
      <c r="A7" s="292">
        <v>2</v>
      </c>
      <c r="B7" s="293" t="s">
        <v>43</v>
      </c>
      <c r="C7" s="294">
        <v>6</v>
      </c>
      <c r="D7" s="298">
        <v>41.33</v>
      </c>
      <c r="E7" s="299">
        <v>1</v>
      </c>
      <c r="F7" s="295">
        <v>334</v>
      </c>
      <c r="G7" s="28">
        <v>17.760000000000002</v>
      </c>
      <c r="H7" s="28">
        <v>17.760000000000002</v>
      </c>
      <c r="I7" s="298">
        <v>40.770000000000003</v>
      </c>
      <c r="J7" s="294">
        <v>298</v>
      </c>
    </row>
    <row r="8" spans="1:10" s="2" customFormat="1" ht="24.95" customHeight="1">
      <c r="A8" s="292">
        <v>3</v>
      </c>
      <c r="B8" s="293" t="s">
        <v>50</v>
      </c>
      <c r="C8" s="294">
        <v>2</v>
      </c>
      <c r="D8" s="297">
        <v>41.68</v>
      </c>
      <c r="E8" s="294">
        <v>6</v>
      </c>
      <c r="F8" s="295">
        <v>334</v>
      </c>
      <c r="G8" s="28">
        <v>40.18</v>
      </c>
      <c r="H8" s="28">
        <f>G8-G7</f>
        <v>22.419999999999998</v>
      </c>
      <c r="I8" s="297">
        <v>40.98</v>
      </c>
      <c r="J8" s="294">
        <v>60</v>
      </c>
    </row>
    <row r="9" spans="1:10" s="2" customFormat="1" ht="24.95" customHeight="1">
      <c r="A9" s="292">
        <v>4</v>
      </c>
      <c r="B9" s="293" t="s">
        <v>42</v>
      </c>
      <c r="C9" s="294">
        <v>7</v>
      </c>
      <c r="D9" s="296">
        <v>41.56</v>
      </c>
      <c r="E9" s="303">
        <v>4</v>
      </c>
      <c r="F9" s="300">
        <v>333</v>
      </c>
      <c r="G9" s="301" t="s">
        <v>122</v>
      </c>
      <c r="H9" s="327">
        <v>9</v>
      </c>
      <c r="I9" s="302">
        <v>40.97</v>
      </c>
      <c r="J9" s="294">
        <v>274</v>
      </c>
    </row>
    <row r="10" spans="1:10" s="2" customFormat="1" ht="24.95" customHeight="1">
      <c r="A10" s="292">
        <v>5</v>
      </c>
      <c r="B10" s="293" t="s">
        <v>27</v>
      </c>
      <c r="C10" s="294">
        <v>8</v>
      </c>
      <c r="D10" s="302">
        <v>41.39</v>
      </c>
      <c r="E10" s="303">
        <v>2</v>
      </c>
      <c r="F10" s="295">
        <v>333</v>
      </c>
      <c r="G10" s="28" t="s">
        <v>122</v>
      </c>
      <c r="H10" s="327">
        <v>20</v>
      </c>
      <c r="I10" s="296">
        <v>41.06</v>
      </c>
      <c r="J10" s="294">
        <v>272</v>
      </c>
    </row>
    <row r="11" spans="1:10" s="2" customFormat="1" ht="24.95" customHeight="1">
      <c r="A11" s="292">
        <v>6</v>
      </c>
      <c r="B11" s="293" t="s">
        <v>8</v>
      </c>
      <c r="C11" s="294">
        <v>5</v>
      </c>
      <c r="D11" s="292">
        <v>41.68</v>
      </c>
      <c r="E11" s="294">
        <v>5</v>
      </c>
      <c r="F11" s="295">
        <v>333</v>
      </c>
      <c r="G11" s="28" t="s">
        <v>122</v>
      </c>
      <c r="H11" s="327">
        <v>12</v>
      </c>
      <c r="I11" s="297">
        <v>41.04</v>
      </c>
      <c r="J11" s="294">
        <v>309</v>
      </c>
    </row>
    <row r="12" spans="1:10" s="2" customFormat="1" ht="24.95" customHeight="1">
      <c r="A12" s="292">
        <v>7</v>
      </c>
      <c r="B12" s="304" t="s">
        <v>24</v>
      </c>
      <c r="C12" s="305">
        <v>1</v>
      </c>
      <c r="D12" s="39">
        <v>42.24</v>
      </c>
      <c r="E12" s="305">
        <v>7</v>
      </c>
      <c r="F12" s="306">
        <v>329</v>
      </c>
      <c r="G12" s="28" t="s">
        <v>123</v>
      </c>
      <c r="H12" s="28" t="s">
        <v>128</v>
      </c>
      <c r="I12" s="292">
        <v>41.66</v>
      </c>
      <c r="J12" s="294">
        <v>35</v>
      </c>
    </row>
    <row r="14" spans="1:10">
      <c r="A14" s="140" t="s">
        <v>146</v>
      </c>
    </row>
    <row r="15" spans="1:10">
      <c r="A15" s="140" t="s">
        <v>147</v>
      </c>
    </row>
    <row r="16" spans="1:10" ht="5.25" customHeight="1">
      <c r="A16" s="140"/>
    </row>
    <row r="17" spans="1:1">
      <c r="A17" s="140" t="s">
        <v>137</v>
      </c>
    </row>
    <row r="18" spans="1:1" s="1" customFormat="1">
      <c r="A18" s="140" t="s">
        <v>139</v>
      </c>
    </row>
    <row r="19" spans="1:1" s="1" customFormat="1">
      <c r="A19" s="140" t="s">
        <v>138</v>
      </c>
    </row>
    <row r="20" spans="1:1" s="1" customFormat="1" ht="6.75" customHeight="1">
      <c r="A20" s="140"/>
    </row>
    <row r="21" spans="1:1" s="1" customFormat="1">
      <c r="A21" s="140" t="s">
        <v>134</v>
      </c>
    </row>
    <row r="22" spans="1:1" s="1" customFormat="1">
      <c r="A22" s="307" t="s">
        <v>140</v>
      </c>
    </row>
    <row r="23" spans="1:1" s="1" customFormat="1">
      <c r="A23" s="307" t="s">
        <v>136</v>
      </c>
    </row>
    <row r="24" spans="1:1" s="1" customFormat="1" ht="6.75" customHeight="1">
      <c r="A24" s="307"/>
    </row>
    <row r="25" spans="1:1" s="1" customFormat="1">
      <c r="A25" s="307" t="s">
        <v>154</v>
      </c>
    </row>
    <row r="26" spans="1:1" s="1" customFormat="1">
      <c r="A26" s="307" t="s">
        <v>155</v>
      </c>
    </row>
    <row r="27" spans="1:1" s="1" customFormat="1">
      <c r="A27" s="307" t="s">
        <v>156</v>
      </c>
    </row>
    <row r="28" spans="1:1" s="1" customFormat="1">
      <c r="A28" s="307" t="s">
        <v>157</v>
      </c>
    </row>
    <row r="29" spans="1:1" s="1" customFormat="1" ht="7.5" customHeight="1">
      <c r="A29" s="140"/>
    </row>
    <row r="30" spans="1:1" s="1" customFormat="1">
      <c r="A30" s="140"/>
    </row>
    <row r="31" spans="1:1" s="1" customFormat="1">
      <c r="A31" s="140"/>
    </row>
    <row r="32" spans="1:1" s="1" customFormat="1">
      <c r="A32" s="140"/>
    </row>
    <row r="33" spans="1:1" s="1" customFormat="1" ht="6.75" customHeight="1"/>
    <row r="34" spans="1:1" s="1" customFormat="1">
      <c r="A34" s="140"/>
    </row>
    <row r="35" spans="1:1" s="1" customFormat="1">
      <c r="A35" s="140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C000"/>
  </sheetPr>
  <dimension ref="A1:Q52"/>
  <sheetViews>
    <sheetView zoomScale="70" zoomScaleNormal="70" workbookViewId="0">
      <selection activeCell="A11" sqref="A11:E11"/>
    </sheetView>
  </sheetViews>
  <sheetFormatPr defaultRowHeight="15"/>
  <cols>
    <col min="1" max="1" width="7.7109375" style="1" customWidth="1"/>
    <col min="2" max="2" width="20" customWidth="1"/>
    <col min="3" max="3" width="16.42578125" style="1" customWidth="1"/>
    <col min="4" max="4" width="12" style="1" customWidth="1"/>
    <col min="5" max="5" width="7.85546875" style="1" customWidth="1"/>
    <col min="6" max="6" width="4.7109375" customWidth="1"/>
    <col min="7" max="7" width="7.85546875" style="1" customWidth="1"/>
    <col min="8" max="8" width="20.5703125" customWidth="1"/>
    <col min="9" max="9" width="16.42578125" style="1" customWidth="1"/>
    <col min="10" max="10" width="12.140625" style="1" customWidth="1"/>
    <col min="11" max="11" width="8.140625" style="1" customWidth="1"/>
    <col min="12" max="12" width="6.140625" customWidth="1"/>
    <col min="13" max="13" width="7.85546875" style="1" customWidth="1"/>
    <col min="14" max="14" width="21.7109375" customWidth="1"/>
    <col min="15" max="15" width="17" style="1" customWidth="1"/>
    <col min="16" max="16" width="13" style="1" customWidth="1"/>
    <col min="17" max="17" width="8.7109375" style="1" customWidth="1"/>
  </cols>
  <sheetData>
    <row r="1" spans="1:17" ht="26.25">
      <c r="A1" s="355" t="s">
        <v>85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355"/>
      <c r="M1" s="355"/>
      <c r="N1" s="355"/>
      <c r="O1" s="355"/>
      <c r="P1" s="355"/>
      <c r="Q1" s="355"/>
    </row>
    <row r="2" spans="1:17" ht="4.5" customHeight="1"/>
    <row r="3" spans="1:17" ht="23.25">
      <c r="A3" s="356" t="s">
        <v>88</v>
      </c>
      <c r="B3" s="356"/>
      <c r="C3" s="356"/>
      <c r="D3" s="356"/>
      <c r="E3" s="356"/>
      <c r="F3" s="102"/>
      <c r="G3" s="356" t="s">
        <v>89</v>
      </c>
      <c r="H3" s="356"/>
      <c r="I3" s="356"/>
      <c r="J3" s="356"/>
      <c r="K3" s="356"/>
      <c r="M3" s="356" t="s">
        <v>90</v>
      </c>
      <c r="N3" s="356"/>
      <c r="O3" s="356"/>
      <c r="P3" s="356"/>
      <c r="Q3" s="356"/>
    </row>
    <row r="4" spans="1:17" ht="3.75" customHeight="1" thickBot="1"/>
    <row r="5" spans="1:17" s="104" customFormat="1" ht="16.5" customHeight="1">
      <c r="A5" s="357"/>
      <c r="B5" s="359" t="s">
        <v>2</v>
      </c>
      <c r="C5" s="361" t="s">
        <v>91</v>
      </c>
      <c r="D5" s="363" t="s">
        <v>77</v>
      </c>
      <c r="E5" s="365" t="s">
        <v>76</v>
      </c>
      <c r="F5" s="103"/>
      <c r="G5" s="357"/>
      <c r="H5" s="359" t="s">
        <v>2</v>
      </c>
      <c r="I5" s="361" t="s">
        <v>91</v>
      </c>
      <c r="J5" s="363" t="s">
        <v>92</v>
      </c>
      <c r="K5" s="365" t="s">
        <v>76</v>
      </c>
      <c r="M5" s="357"/>
      <c r="N5" s="359" t="s">
        <v>2</v>
      </c>
      <c r="O5" s="361" t="s">
        <v>91</v>
      </c>
      <c r="P5" s="363" t="s">
        <v>93</v>
      </c>
      <c r="Q5" s="365" t="s">
        <v>76</v>
      </c>
    </row>
    <row r="6" spans="1:17" s="104" customFormat="1" ht="19.149999999999999" customHeight="1" thickBot="1">
      <c r="A6" s="358"/>
      <c r="B6" s="360"/>
      <c r="C6" s="362"/>
      <c r="D6" s="364"/>
      <c r="E6" s="366"/>
      <c r="F6" s="103"/>
      <c r="G6" s="358"/>
      <c r="H6" s="360"/>
      <c r="I6" s="362"/>
      <c r="J6" s="364"/>
      <c r="K6" s="366"/>
      <c r="M6" s="358"/>
      <c r="N6" s="360"/>
      <c r="O6" s="362"/>
      <c r="P6" s="364"/>
      <c r="Q6" s="366"/>
    </row>
    <row r="7" spans="1:17" s="2" customFormat="1" ht="27.95" customHeight="1">
      <c r="A7" s="217">
        <v>1</v>
      </c>
      <c r="B7" s="218" t="s">
        <v>44</v>
      </c>
      <c r="C7" s="219" t="s">
        <v>43</v>
      </c>
      <c r="D7" s="220">
        <v>40.770000000000003</v>
      </c>
      <c r="E7" s="221">
        <v>15</v>
      </c>
      <c r="F7" s="105"/>
      <c r="G7" s="217">
        <v>1</v>
      </c>
      <c r="H7" s="218" t="s">
        <v>44</v>
      </c>
      <c r="I7" s="219" t="s">
        <v>43</v>
      </c>
      <c r="J7" s="272">
        <v>41.11910714285716</v>
      </c>
      <c r="K7" s="221">
        <v>15</v>
      </c>
      <c r="M7" s="268">
        <v>1</v>
      </c>
      <c r="N7" s="269" t="s">
        <v>28</v>
      </c>
      <c r="O7" s="270" t="s">
        <v>27</v>
      </c>
      <c r="P7" s="278">
        <v>0.21999999999999886</v>
      </c>
      <c r="Q7" s="271">
        <v>5</v>
      </c>
    </row>
    <row r="8" spans="1:17" s="2" customFormat="1" ht="27.95" customHeight="1">
      <c r="A8" s="222">
        <v>2</v>
      </c>
      <c r="B8" s="223" t="s">
        <v>44</v>
      </c>
      <c r="C8" s="224" t="s">
        <v>43</v>
      </c>
      <c r="D8" s="225">
        <v>40.92</v>
      </c>
      <c r="E8" s="226">
        <v>88</v>
      </c>
      <c r="F8" s="105"/>
      <c r="G8" s="229">
        <v>2</v>
      </c>
      <c r="H8" s="230" t="s">
        <v>48</v>
      </c>
      <c r="I8" s="231" t="s">
        <v>50</v>
      </c>
      <c r="J8" s="273">
        <v>41.228695652173904</v>
      </c>
      <c r="K8" s="233">
        <v>88</v>
      </c>
      <c r="M8" s="222">
        <v>2</v>
      </c>
      <c r="N8" s="223" t="s">
        <v>115</v>
      </c>
      <c r="O8" s="224" t="s">
        <v>43</v>
      </c>
      <c r="P8" s="279">
        <v>0.22850000000000392</v>
      </c>
      <c r="Q8" s="226">
        <v>9</v>
      </c>
    </row>
    <row r="9" spans="1:17" s="2" customFormat="1" ht="27.95" customHeight="1">
      <c r="A9" s="234">
        <v>3</v>
      </c>
      <c r="B9" s="235" t="s">
        <v>16</v>
      </c>
      <c r="C9" s="236" t="s">
        <v>114</v>
      </c>
      <c r="D9" s="239">
        <v>40.93</v>
      </c>
      <c r="E9" s="244">
        <v>15</v>
      </c>
      <c r="F9" s="105"/>
      <c r="G9" s="222">
        <v>3</v>
      </c>
      <c r="H9" s="223" t="s">
        <v>44</v>
      </c>
      <c r="I9" s="224" t="s">
        <v>43</v>
      </c>
      <c r="J9" s="225">
        <v>41.230370370370373</v>
      </c>
      <c r="K9" s="226">
        <v>2</v>
      </c>
      <c r="M9" s="234">
        <v>3</v>
      </c>
      <c r="N9" s="235" t="s">
        <v>16</v>
      </c>
      <c r="O9" s="236" t="s">
        <v>114</v>
      </c>
      <c r="P9" s="280">
        <v>0.23515151515152866</v>
      </c>
      <c r="Q9" s="244">
        <v>11</v>
      </c>
    </row>
    <row r="10" spans="1:17" s="2" customFormat="1" ht="27.95" customHeight="1">
      <c r="A10" s="255" t="s">
        <v>116</v>
      </c>
      <c r="B10" s="245" t="s">
        <v>16</v>
      </c>
      <c r="C10" s="236" t="s">
        <v>114</v>
      </c>
      <c r="D10" s="246">
        <v>40.93</v>
      </c>
      <c r="E10" s="238">
        <v>6</v>
      </c>
      <c r="F10" s="105"/>
      <c r="G10" s="234">
        <v>4</v>
      </c>
      <c r="H10" s="235" t="s">
        <v>16</v>
      </c>
      <c r="I10" s="236" t="s">
        <v>114</v>
      </c>
      <c r="J10" s="246">
        <v>41.306500000000007</v>
      </c>
      <c r="K10" s="244">
        <v>15</v>
      </c>
      <c r="M10" s="229">
        <v>4</v>
      </c>
      <c r="N10" s="230" t="s">
        <v>48</v>
      </c>
      <c r="O10" s="231" t="s">
        <v>50</v>
      </c>
      <c r="P10" s="282">
        <v>0.24869565217390743</v>
      </c>
      <c r="Q10" s="283">
        <v>88</v>
      </c>
    </row>
    <row r="11" spans="1:17" s="2" customFormat="1" ht="27.95" customHeight="1">
      <c r="A11" s="256" t="s">
        <v>116</v>
      </c>
      <c r="B11" s="228" t="s">
        <v>44</v>
      </c>
      <c r="C11" s="224" t="s">
        <v>43</v>
      </c>
      <c r="D11" s="225">
        <v>40.93</v>
      </c>
      <c r="E11" s="226">
        <v>2</v>
      </c>
      <c r="F11" s="105"/>
      <c r="G11" s="222">
        <v>5</v>
      </c>
      <c r="H11" s="223" t="s">
        <v>44</v>
      </c>
      <c r="I11" s="224" t="s">
        <v>43</v>
      </c>
      <c r="J11" s="225">
        <v>41.314363636363652</v>
      </c>
      <c r="K11" s="226">
        <v>88</v>
      </c>
      <c r="M11" s="112">
        <v>5</v>
      </c>
      <c r="N11" s="63" t="s">
        <v>32</v>
      </c>
      <c r="O11" s="43" t="s">
        <v>86</v>
      </c>
      <c r="P11" s="114">
        <v>0.26531914893617881</v>
      </c>
      <c r="Q11" s="115">
        <v>2</v>
      </c>
    </row>
    <row r="12" spans="1:17" s="2" customFormat="1" ht="27.95" customHeight="1">
      <c r="A12" s="112">
        <v>6</v>
      </c>
      <c r="B12" s="63" t="s">
        <v>31</v>
      </c>
      <c r="C12" s="43" t="s">
        <v>86</v>
      </c>
      <c r="D12" s="116">
        <v>40.97</v>
      </c>
      <c r="E12" s="216">
        <v>1</v>
      </c>
      <c r="F12" s="105"/>
      <c r="G12" s="112">
        <v>6</v>
      </c>
      <c r="H12" s="63" t="s">
        <v>32</v>
      </c>
      <c r="I12" s="43" t="s">
        <v>86</v>
      </c>
      <c r="J12" s="117">
        <v>41.325319148936181</v>
      </c>
      <c r="K12" s="115">
        <v>2</v>
      </c>
      <c r="M12" s="229">
        <v>6</v>
      </c>
      <c r="N12" s="274" t="s">
        <v>47</v>
      </c>
      <c r="O12" s="231" t="s">
        <v>50</v>
      </c>
      <c r="P12" s="282">
        <v>0.28000000000000114</v>
      </c>
      <c r="Q12" s="233">
        <v>3</v>
      </c>
    </row>
    <row r="13" spans="1:17" s="2" customFormat="1" ht="27.95" customHeight="1">
      <c r="A13" s="229">
        <v>7</v>
      </c>
      <c r="B13" s="230" t="s">
        <v>48</v>
      </c>
      <c r="C13" s="231" t="s">
        <v>50</v>
      </c>
      <c r="D13" s="232">
        <v>40.98</v>
      </c>
      <c r="E13" s="233">
        <v>88</v>
      </c>
      <c r="F13" s="105"/>
      <c r="G13" s="234">
        <v>7</v>
      </c>
      <c r="H13" s="235" t="s">
        <v>16</v>
      </c>
      <c r="I13" s="236" t="s">
        <v>114</v>
      </c>
      <c r="J13" s="246">
        <v>41.355151515151526</v>
      </c>
      <c r="K13" s="244">
        <v>11</v>
      </c>
      <c r="M13" s="229">
        <v>7</v>
      </c>
      <c r="N13" s="274" t="s">
        <v>48</v>
      </c>
      <c r="O13" s="231" t="s">
        <v>50</v>
      </c>
      <c r="P13" s="282">
        <v>0.28200000000000358</v>
      </c>
      <c r="Q13" s="233">
        <v>10</v>
      </c>
    </row>
    <row r="14" spans="1:17" s="2" customFormat="1" ht="27.95" customHeight="1">
      <c r="A14" s="112">
        <v>8</v>
      </c>
      <c r="B14" s="63" t="s">
        <v>32</v>
      </c>
      <c r="C14" s="43" t="s">
        <v>86</v>
      </c>
      <c r="D14" s="215">
        <v>40.99</v>
      </c>
      <c r="E14" s="115">
        <v>21</v>
      </c>
      <c r="F14" s="105"/>
      <c r="G14" s="112">
        <v>8</v>
      </c>
      <c r="H14" s="113" t="s">
        <v>32</v>
      </c>
      <c r="I14" s="43" t="s">
        <v>86</v>
      </c>
      <c r="J14" s="117">
        <v>41.366170212765965</v>
      </c>
      <c r="K14" s="115">
        <v>21</v>
      </c>
      <c r="M14" s="106">
        <v>8</v>
      </c>
      <c r="N14" s="107" t="s">
        <v>33</v>
      </c>
      <c r="O14" s="108" t="s">
        <v>27</v>
      </c>
      <c r="P14" s="111">
        <v>0.28871794871794521</v>
      </c>
      <c r="Q14" s="110">
        <v>10</v>
      </c>
    </row>
    <row r="15" spans="1:17" s="2" customFormat="1" ht="27.95" customHeight="1">
      <c r="A15" s="234">
        <v>9</v>
      </c>
      <c r="B15" s="235" t="s">
        <v>14</v>
      </c>
      <c r="C15" s="236" t="s">
        <v>114</v>
      </c>
      <c r="D15" s="237">
        <v>41.03</v>
      </c>
      <c r="E15" s="238">
        <v>15</v>
      </c>
      <c r="F15" s="105"/>
      <c r="G15" s="234">
        <v>9</v>
      </c>
      <c r="H15" s="235" t="s">
        <v>16</v>
      </c>
      <c r="I15" s="236" t="s">
        <v>114</v>
      </c>
      <c r="J15" s="246">
        <v>41.367727272727272</v>
      </c>
      <c r="K15" s="238">
        <v>6</v>
      </c>
      <c r="M15" s="112">
        <v>9</v>
      </c>
      <c r="N15" s="63" t="s">
        <v>32</v>
      </c>
      <c r="O15" s="43" t="s">
        <v>86</v>
      </c>
      <c r="P15" s="114">
        <v>0.28882352941176492</v>
      </c>
      <c r="Q15" s="216">
        <v>2</v>
      </c>
    </row>
    <row r="16" spans="1:17" s="2" customFormat="1" ht="27.95" customHeight="1">
      <c r="A16" s="256" t="s">
        <v>116</v>
      </c>
      <c r="B16" s="223" t="s">
        <v>44</v>
      </c>
      <c r="C16" s="224" t="s">
        <v>43</v>
      </c>
      <c r="D16" s="225">
        <v>41.03</v>
      </c>
      <c r="E16" s="226">
        <v>2</v>
      </c>
      <c r="F16" s="105"/>
      <c r="G16" s="106">
        <v>10</v>
      </c>
      <c r="H16" s="107" t="s">
        <v>33</v>
      </c>
      <c r="I16" s="108" t="s">
        <v>27</v>
      </c>
      <c r="J16" s="109">
        <v>41.368717948717944</v>
      </c>
      <c r="K16" s="110">
        <v>10</v>
      </c>
      <c r="M16" s="229">
        <v>10</v>
      </c>
      <c r="N16" s="274" t="s">
        <v>47</v>
      </c>
      <c r="O16" s="231" t="s">
        <v>50</v>
      </c>
      <c r="P16" s="282">
        <v>0.29136363636363427</v>
      </c>
      <c r="Q16" s="233">
        <v>7</v>
      </c>
    </row>
    <row r="17" spans="1:17" s="2" customFormat="1" ht="27.95" customHeight="1">
      <c r="A17" s="112">
        <v>11</v>
      </c>
      <c r="B17" s="113" t="s">
        <v>31</v>
      </c>
      <c r="C17" s="43" t="s">
        <v>86</v>
      </c>
      <c r="D17" s="117">
        <v>41.04</v>
      </c>
      <c r="E17" s="115">
        <v>14</v>
      </c>
      <c r="F17" s="105"/>
      <c r="G17" s="229">
        <v>11</v>
      </c>
      <c r="H17" s="274" t="s">
        <v>47</v>
      </c>
      <c r="I17" s="231" t="s">
        <v>50</v>
      </c>
      <c r="J17" s="273">
        <v>41.371363636363633</v>
      </c>
      <c r="K17" s="233">
        <v>7</v>
      </c>
      <c r="M17" s="106">
        <v>11</v>
      </c>
      <c r="N17" s="227" t="s">
        <v>28</v>
      </c>
      <c r="O17" s="108" t="s">
        <v>27</v>
      </c>
      <c r="P17" s="111">
        <v>0.29640625000001108</v>
      </c>
      <c r="Q17" s="110">
        <v>4</v>
      </c>
    </row>
    <row r="18" spans="1:17" s="2" customFormat="1" ht="27.95" customHeight="1">
      <c r="A18" s="257" t="s">
        <v>116</v>
      </c>
      <c r="B18" s="240" t="s">
        <v>9</v>
      </c>
      <c r="C18" s="241" t="s">
        <v>8</v>
      </c>
      <c r="D18" s="242">
        <v>41.04</v>
      </c>
      <c r="E18" s="243">
        <v>5</v>
      </c>
      <c r="F18" s="105"/>
      <c r="G18" s="112">
        <v>12</v>
      </c>
      <c r="H18" s="63" t="s">
        <v>31</v>
      </c>
      <c r="I18" s="43" t="s">
        <v>86</v>
      </c>
      <c r="J18" s="117">
        <v>41.389999999999993</v>
      </c>
      <c r="K18" s="115">
        <v>14</v>
      </c>
      <c r="M18" s="222">
        <v>12</v>
      </c>
      <c r="N18" s="223" t="s">
        <v>44</v>
      </c>
      <c r="O18" s="224" t="s">
        <v>43</v>
      </c>
      <c r="P18" s="279">
        <v>0.30037037037037351</v>
      </c>
      <c r="Q18" s="226">
        <v>2</v>
      </c>
    </row>
    <row r="19" spans="1:17" s="2" customFormat="1" ht="27.95" customHeight="1">
      <c r="A19" s="112">
        <v>13</v>
      </c>
      <c r="B19" s="63" t="s">
        <v>31</v>
      </c>
      <c r="C19" s="43" t="s">
        <v>86</v>
      </c>
      <c r="D19" s="117">
        <v>41.06</v>
      </c>
      <c r="E19" s="115">
        <v>14</v>
      </c>
      <c r="F19" s="105"/>
      <c r="G19" s="234">
        <v>13</v>
      </c>
      <c r="H19" s="245" t="s">
        <v>14</v>
      </c>
      <c r="I19" s="236" t="s">
        <v>114</v>
      </c>
      <c r="J19" s="246">
        <v>41.413448275862066</v>
      </c>
      <c r="K19" s="238">
        <v>15</v>
      </c>
      <c r="M19" s="229">
        <v>13</v>
      </c>
      <c r="N19" s="274" t="s">
        <v>47</v>
      </c>
      <c r="O19" s="231" t="s">
        <v>50</v>
      </c>
      <c r="P19" s="282">
        <v>0.30807017543857995</v>
      </c>
      <c r="Q19" s="233">
        <v>6</v>
      </c>
    </row>
    <row r="20" spans="1:17" s="2" customFormat="1" ht="27.95" customHeight="1">
      <c r="A20" s="258" t="s">
        <v>116</v>
      </c>
      <c r="B20" s="63" t="s">
        <v>32</v>
      </c>
      <c r="C20" s="43" t="s">
        <v>86</v>
      </c>
      <c r="D20" s="117">
        <v>41.06</v>
      </c>
      <c r="E20" s="115">
        <v>2</v>
      </c>
      <c r="F20" s="105"/>
      <c r="G20" s="112">
        <v>14</v>
      </c>
      <c r="H20" s="63" t="s">
        <v>32</v>
      </c>
      <c r="I20" s="43" t="s">
        <v>86</v>
      </c>
      <c r="J20" s="117">
        <v>41.438823529411764</v>
      </c>
      <c r="K20" s="216">
        <v>2</v>
      </c>
      <c r="M20" s="234">
        <v>14</v>
      </c>
      <c r="N20" s="235" t="s">
        <v>16</v>
      </c>
      <c r="O20" s="236" t="s">
        <v>114</v>
      </c>
      <c r="P20" s="280">
        <v>0.30851063829786796</v>
      </c>
      <c r="Q20" s="244">
        <v>11</v>
      </c>
    </row>
    <row r="21" spans="1:17" s="2" customFormat="1" ht="27.95" customHeight="1" thickBot="1">
      <c r="A21" s="259" t="s">
        <v>116</v>
      </c>
      <c r="B21" s="251" t="s">
        <v>33</v>
      </c>
      <c r="C21" s="252" t="s">
        <v>27</v>
      </c>
      <c r="D21" s="253">
        <v>41.06</v>
      </c>
      <c r="E21" s="254">
        <v>10</v>
      </c>
      <c r="F21" s="118"/>
      <c r="G21" s="247">
        <v>15</v>
      </c>
      <c r="H21" s="275" t="s">
        <v>16</v>
      </c>
      <c r="I21" s="249" t="s">
        <v>114</v>
      </c>
      <c r="J21" s="276">
        <v>41.440000000000005</v>
      </c>
      <c r="K21" s="277">
        <v>11</v>
      </c>
      <c r="M21" s="247">
        <v>15</v>
      </c>
      <c r="N21" s="248" t="s">
        <v>14</v>
      </c>
      <c r="O21" s="249" t="s">
        <v>114</v>
      </c>
      <c r="P21" s="281">
        <v>0.32344827586206293</v>
      </c>
      <c r="Q21" s="250">
        <v>15</v>
      </c>
    </row>
    <row r="22" spans="1:17" s="126" customFormat="1" ht="21.75" customHeight="1">
      <c r="A22" s="119">
        <v>40.79</v>
      </c>
      <c r="B22" s="120" t="s">
        <v>94</v>
      </c>
      <c r="C22" s="121"/>
      <c r="D22" s="122"/>
      <c r="E22" s="123"/>
      <c r="F22" s="124"/>
      <c r="G22" s="125">
        <v>40.869999999999997</v>
      </c>
      <c r="H22" s="120" t="s">
        <v>95</v>
      </c>
      <c r="I22" s="121"/>
      <c r="J22" s="122"/>
      <c r="K22" s="123"/>
      <c r="M22" s="127" t="s">
        <v>96</v>
      </c>
      <c r="N22" s="120"/>
      <c r="O22" s="121"/>
      <c r="P22" s="122"/>
      <c r="Q22" s="123"/>
    </row>
    <row r="23" spans="1:17" ht="8.25" customHeight="1"/>
    <row r="24" spans="1:17" ht="19.5">
      <c r="A24" s="128" t="s">
        <v>158</v>
      </c>
      <c r="G24" s="129"/>
    </row>
    <row r="25" spans="1:17" ht="19.5">
      <c r="A25" s="128" t="s">
        <v>231</v>
      </c>
      <c r="G25" s="129"/>
    </row>
    <row r="26" spans="1:17" ht="9.75" customHeight="1">
      <c r="A26" s="128"/>
      <c r="G26" s="129"/>
    </row>
    <row r="27" spans="1:17" ht="19.5">
      <c r="A27" s="128" t="s">
        <v>151</v>
      </c>
      <c r="G27" s="129"/>
      <c r="M27" s="129"/>
    </row>
    <row r="28" spans="1:17" ht="19.5">
      <c r="A28" s="128" t="s">
        <v>152</v>
      </c>
      <c r="G28" s="129"/>
    </row>
    <row r="29" spans="1:17" ht="19.5">
      <c r="A29" s="128" t="s">
        <v>153</v>
      </c>
      <c r="G29" s="129"/>
      <c r="M29" s="129"/>
    </row>
    <row r="30" spans="1:17" ht="8.25" customHeight="1">
      <c r="A30" s="128"/>
      <c r="G30" s="129"/>
      <c r="M30" s="129"/>
    </row>
    <row r="31" spans="1:17" ht="19.5">
      <c r="A31" s="128" t="s">
        <v>159</v>
      </c>
      <c r="M31" s="129"/>
    </row>
    <row r="32" spans="1:17" ht="19.5">
      <c r="A32" s="128" t="s">
        <v>164</v>
      </c>
      <c r="M32" s="129"/>
    </row>
    <row r="33" spans="1:1" ht="6.75" customHeight="1">
      <c r="A33" s="128"/>
    </row>
    <row r="34" spans="1:1" ht="16.5" customHeight="1">
      <c r="A34" s="128" t="s">
        <v>161</v>
      </c>
    </row>
    <row r="35" spans="1:1" ht="16.5" customHeight="1">
      <c r="A35" s="128" t="s">
        <v>160</v>
      </c>
    </row>
    <row r="36" spans="1:1" ht="18.75">
      <c r="A36" s="128" t="s">
        <v>162</v>
      </c>
    </row>
    <row r="37" spans="1:1" ht="18.75">
      <c r="A37" s="128" t="s">
        <v>163</v>
      </c>
    </row>
    <row r="38" spans="1:1" ht="5.25" customHeight="1"/>
    <row r="39" spans="1:1" ht="18.75">
      <c r="A39" s="128"/>
    </row>
    <row r="40" spans="1:1" ht="18.75">
      <c r="A40" s="128"/>
    </row>
    <row r="41" spans="1:1" ht="18.75">
      <c r="A41" s="128"/>
    </row>
    <row r="42" spans="1:1" ht="18.75">
      <c r="A42" s="128"/>
    </row>
    <row r="43" spans="1:1" ht="18.75">
      <c r="A43" s="128"/>
    </row>
    <row r="44" spans="1:1" ht="18.75">
      <c r="A44" s="128"/>
    </row>
    <row r="46" spans="1:1" ht="18.75">
      <c r="A46" s="128"/>
    </row>
    <row r="47" spans="1:1" ht="18.75">
      <c r="A47" s="128"/>
    </row>
    <row r="48" spans="1:1" ht="18.75">
      <c r="A48" s="128"/>
    </row>
    <row r="49" spans="1:1" ht="18.75">
      <c r="A49" s="128"/>
    </row>
    <row r="50" spans="1:1" ht="18.75">
      <c r="A50" s="128"/>
    </row>
    <row r="51" spans="1:1" ht="18.75">
      <c r="A51" s="128"/>
    </row>
    <row r="52" spans="1:1" ht="18.75">
      <c r="A52" s="128"/>
    </row>
  </sheetData>
  <mergeCells count="19">
    <mergeCell ref="K5:K6"/>
    <mergeCell ref="M5:M6"/>
    <mergeCell ref="N5:N6"/>
    <mergeCell ref="A1:Q1"/>
    <mergeCell ref="A3:E3"/>
    <mergeCell ref="G3:K3"/>
    <mergeCell ref="M3:Q3"/>
    <mergeCell ref="A5:A6"/>
    <mergeCell ref="B5:B6"/>
    <mergeCell ref="C5:C6"/>
    <mergeCell ref="D5:D6"/>
    <mergeCell ref="E5:E6"/>
    <mergeCell ref="G5:G6"/>
    <mergeCell ref="O5:O6"/>
    <mergeCell ref="P5:P6"/>
    <mergeCell ref="Q5:Q6"/>
    <mergeCell ref="H5:H6"/>
    <mergeCell ref="I5:I6"/>
    <mergeCell ref="J5:J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5" tint="0.79998168889431442"/>
  </sheetPr>
  <dimension ref="A1:Q28"/>
  <sheetViews>
    <sheetView zoomScale="70" zoomScaleNormal="70" workbookViewId="0">
      <selection activeCell="H24" sqref="H24"/>
    </sheetView>
  </sheetViews>
  <sheetFormatPr defaultRowHeight="15"/>
  <cols>
    <col min="1" max="1" width="6" customWidth="1"/>
    <col min="2" max="2" width="21.7109375" customWidth="1"/>
    <col min="3" max="3" width="17" style="1" customWidth="1"/>
    <col min="4" max="4" width="11.85546875" style="143" customWidth="1"/>
    <col min="5" max="5" width="10.5703125" style="1" customWidth="1"/>
    <col min="6" max="6" width="2.140625" customWidth="1"/>
    <col min="7" max="7" width="6" customWidth="1"/>
    <col min="8" max="8" width="20.42578125" customWidth="1"/>
    <col min="9" max="9" width="17.140625" style="1" customWidth="1"/>
    <col min="10" max="10" width="11.7109375" style="1" customWidth="1"/>
    <col min="11" max="11" width="11" style="1" customWidth="1"/>
    <col min="12" max="12" width="2.28515625" customWidth="1"/>
  </cols>
  <sheetData>
    <row r="1" spans="1:17" ht="26.25">
      <c r="A1" s="355" t="s">
        <v>85</v>
      </c>
      <c r="B1" s="355"/>
      <c r="C1" s="355"/>
      <c r="D1" s="355"/>
      <c r="E1" s="355"/>
      <c r="F1" s="355"/>
      <c r="G1" s="355"/>
      <c r="H1" s="355"/>
      <c r="I1" s="355"/>
      <c r="J1" s="355"/>
      <c r="K1" s="355"/>
      <c r="L1" s="264"/>
      <c r="M1" s="264"/>
      <c r="N1" s="264"/>
      <c r="O1" s="264"/>
      <c r="P1" s="264"/>
      <c r="Q1" s="264"/>
    </row>
    <row r="2" spans="1:17" ht="4.5" customHeight="1">
      <c r="A2" s="1"/>
      <c r="G2" s="1"/>
    </row>
    <row r="3" spans="1:17" ht="23.25">
      <c r="A3" s="356" t="s">
        <v>102</v>
      </c>
      <c r="B3" s="356"/>
      <c r="C3" s="356"/>
      <c r="D3" s="356"/>
      <c r="E3" s="356"/>
      <c r="F3" s="356"/>
      <c r="G3" s="356"/>
      <c r="H3" s="356"/>
      <c r="I3" s="356"/>
      <c r="J3" s="356"/>
      <c r="K3" s="356"/>
    </row>
    <row r="4" spans="1:17" ht="7.5" customHeight="1" thickBot="1"/>
    <row r="5" spans="1:17" s="104" customFormat="1" ht="20.25" customHeight="1">
      <c r="A5" s="367" t="s">
        <v>7</v>
      </c>
      <c r="B5" s="359" t="s">
        <v>2</v>
      </c>
      <c r="C5" s="361" t="s">
        <v>91</v>
      </c>
      <c r="D5" s="371" t="s">
        <v>77</v>
      </c>
      <c r="E5" s="365" t="s">
        <v>103</v>
      </c>
      <c r="F5" s="374"/>
      <c r="G5" s="367" t="s">
        <v>7</v>
      </c>
      <c r="H5" s="359" t="s">
        <v>2</v>
      </c>
      <c r="I5" s="361" t="s">
        <v>91</v>
      </c>
      <c r="J5" s="371" t="s">
        <v>77</v>
      </c>
      <c r="K5" s="365" t="s">
        <v>103</v>
      </c>
      <c r="M5" s="144" t="s">
        <v>165</v>
      </c>
    </row>
    <row r="6" spans="1:17" s="104" customFormat="1" ht="18.75" customHeight="1" thickBot="1">
      <c r="A6" s="368"/>
      <c r="B6" s="369"/>
      <c r="C6" s="370"/>
      <c r="D6" s="372"/>
      <c r="E6" s="373"/>
      <c r="F6" s="375"/>
      <c r="G6" s="368"/>
      <c r="H6" s="369"/>
      <c r="I6" s="370"/>
      <c r="J6" s="372"/>
      <c r="K6" s="373"/>
      <c r="M6" s="144" t="s">
        <v>166</v>
      </c>
    </row>
    <row r="7" spans="1:17" s="2" customFormat="1" ht="21.95" customHeight="1">
      <c r="A7" s="377">
        <v>15</v>
      </c>
      <c r="B7" s="145" t="s">
        <v>44</v>
      </c>
      <c r="C7" s="146" t="s">
        <v>43</v>
      </c>
      <c r="D7" s="147">
        <v>40.770000000000003</v>
      </c>
      <c r="E7" s="380">
        <f>AVERAGE(D7:D9)</f>
        <v>40.910000000000004</v>
      </c>
      <c r="F7" s="375"/>
      <c r="G7" s="377">
        <v>11</v>
      </c>
      <c r="H7" s="155" t="s">
        <v>16</v>
      </c>
      <c r="I7" s="146" t="s">
        <v>114</v>
      </c>
      <c r="J7" s="147">
        <v>41.11</v>
      </c>
      <c r="K7" s="380">
        <f>AVERAGE(J7:J9)</f>
        <v>41.139999999999993</v>
      </c>
      <c r="M7" s="144" t="s">
        <v>167</v>
      </c>
    </row>
    <row r="8" spans="1:17" s="2" customFormat="1" ht="21.95" customHeight="1">
      <c r="A8" s="378"/>
      <c r="B8" s="157" t="s">
        <v>16</v>
      </c>
      <c r="C8" s="150" t="s">
        <v>114</v>
      </c>
      <c r="D8" s="151">
        <v>40.93</v>
      </c>
      <c r="E8" s="381"/>
      <c r="F8" s="375"/>
      <c r="G8" s="378"/>
      <c r="H8" s="160" t="s">
        <v>16</v>
      </c>
      <c r="I8" s="150" t="s">
        <v>114</v>
      </c>
      <c r="J8" s="151">
        <v>41.12</v>
      </c>
      <c r="K8" s="381"/>
      <c r="M8" s="144" t="s">
        <v>168</v>
      </c>
    </row>
    <row r="9" spans="1:17" s="2" customFormat="1" ht="21.95" customHeight="1" thickBot="1">
      <c r="A9" s="379"/>
      <c r="B9" s="159" t="s">
        <v>14</v>
      </c>
      <c r="C9" s="162" t="s">
        <v>114</v>
      </c>
      <c r="D9" s="154">
        <v>41.03</v>
      </c>
      <c r="E9" s="382"/>
      <c r="F9" s="375"/>
      <c r="G9" s="379"/>
      <c r="H9" s="159" t="s">
        <v>16</v>
      </c>
      <c r="I9" s="153" t="s">
        <v>114</v>
      </c>
      <c r="J9" s="154">
        <v>41.19</v>
      </c>
      <c r="K9" s="382"/>
      <c r="M9" s="144"/>
    </row>
    <row r="10" spans="1:17" s="2" customFormat="1" ht="21.95" customHeight="1">
      <c r="A10" s="377">
        <v>88</v>
      </c>
      <c r="B10" s="148" t="s">
        <v>44</v>
      </c>
      <c r="C10" s="146" t="s">
        <v>43</v>
      </c>
      <c r="D10" s="147">
        <v>40.92</v>
      </c>
      <c r="E10" s="380">
        <f>AVERAGE(D10:D12)</f>
        <v>40.99</v>
      </c>
      <c r="F10" s="375"/>
      <c r="G10" s="377">
        <v>6</v>
      </c>
      <c r="H10" s="145" t="s">
        <v>16</v>
      </c>
      <c r="I10" s="146" t="s">
        <v>114</v>
      </c>
      <c r="J10" s="147">
        <v>40.93</v>
      </c>
      <c r="K10" s="380">
        <f>AVERAGE(J10:J12)</f>
        <v>41.15</v>
      </c>
      <c r="M10" s="144" t="s">
        <v>169</v>
      </c>
    </row>
    <row r="11" spans="1:17" s="2" customFormat="1" ht="21.95" customHeight="1">
      <c r="A11" s="378"/>
      <c r="B11" s="149" t="s">
        <v>48</v>
      </c>
      <c r="C11" s="150" t="s">
        <v>50</v>
      </c>
      <c r="D11" s="151">
        <v>40.98</v>
      </c>
      <c r="E11" s="381"/>
      <c r="F11" s="375"/>
      <c r="G11" s="378"/>
      <c r="H11" s="149" t="s">
        <v>47</v>
      </c>
      <c r="I11" s="150" t="s">
        <v>50</v>
      </c>
      <c r="J11" s="151">
        <v>41.24</v>
      </c>
      <c r="K11" s="381"/>
      <c r="M11" s="144" t="s">
        <v>170</v>
      </c>
    </row>
    <row r="12" spans="1:17" s="2" customFormat="1" ht="21.95" customHeight="1" thickBot="1">
      <c r="A12" s="379"/>
      <c r="B12" s="152" t="s">
        <v>14</v>
      </c>
      <c r="C12" s="153" t="s">
        <v>114</v>
      </c>
      <c r="D12" s="154">
        <v>41.07</v>
      </c>
      <c r="E12" s="382"/>
      <c r="F12" s="375"/>
      <c r="G12" s="379"/>
      <c r="H12" s="158" t="s">
        <v>28</v>
      </c>
      <c r="I12" s="153" t="s">
        <v>27</v>
      </c>
      <c r="J12" s="154">
        <v>41.28</v>
      </c>
      <c r="K12" s="382"/>
      <c r="M12" s="144" t="s">
        <v>171</v>
      </c>
    </row>
    <row r="13" spans="1:17" s="2" customFormat="1" ht="21.95" customHeight="1">
      <c r="A13" s="377">
        <v>2</v>
      </c>
      <c r="B13" s="155" t="s">
        <v>44</v>
      </c>
      <c r="C13" s="146" t="s">
        <v>43</v>
      </c>
      <c r="D13" s="147">
        <v>40.93</v>
      </c>
      <c r="E13" s="380">
        <f>AVERAGE(D13:D15)</f>
        <v>41.006666666666668</v>
      </c>
      <c r="F13" s="375"/>
      <c r="G13" s="377">
        <v>7</v>
      </c>
      <c r="H13" s="148" t="s">
        <v>47</v>
      </c>
      <c r="I13" s="146" t="s">
        <v>50</v>
      </c>
      <c r="J13" s="147">
        <v>41.08</v>
      </c>
      <c r="K13" s="380">
        <f>AVERAGE(J13:J15)</f>
        <v>41.153333333333329</v>
      </c>
      <c r="M13" s="144"/>
    </row>
    <row r="14" spans="1:17" s="2" customFormat="1" ht="21.95" customHeight="1">
      <c r="A14" s="378"/>
      <c r="B14" s="149" t="s">
        <v>44</v>
      </c>
      <c r="C14" s="150" t="s">
        <v>43</v>
      </c>
      <c r="D14" s="151">
        <v>41.03</v>
      </c>
      <c r="E14" s="381"/>
      <c r="F14" s="375"/>
      <c r="G14" s="378"/>
      <c r="H14" s="149" t="s">
        <v>10</v>
      </c>
      <c r="I14" s="150" t="s">
        <v>8</v>
      </c>
      <c r="J14" s="151">
        <v>41.16</v>
      </c>
      <c r="K14" s="381"/>
      <c r="M14" s="144" t="s">
        <v>229</v>
      </c>
    </row>
    <row r="15" spans="1:17" s="2" customFormat="1" ht="21.95" customHeight="1" thickBot="1">
      <c r="A15" s="379"/>
      <c r="B15" s="158" t="s">
        <v>32</v>
      </c>
      <c r="C15" s="153" t="s">
        <v>86</v>
      </c>
      <c r="D15" s="154">
        <v>41.06</v>
      </c>
      <c r="E15" s="382"/>
      <c r="F15" s="375"/>
      <c r="G15" s="379"/>
      <c r="H15" s="152" t="s">
        <v>47</v>
      </c>
      <c r="I15" s="153" t="s">
        <v>50</v>
      </c>
      <c r="J15" s="154">
        <v>41.22</v>
      </c>
      <c r="K15" s="382"/>
      <c r="M15" s="333" t="s">
        <v>230</v>
      </c>
    </row>
    <row r="16" spans="1:17" s="2" customFormat="1" ht="21.95" customHeight="1">
      <c r="A16" s="377">
        <v>14</v>
      </c>
      <c r="B16" s="145" t="s">
        <v>31</v>
      </c>
      <c r="C16" s="146" t="s">
        <v>86</v>
      </c>
      <c r="D16" s="147">
        <v>41.04</v>
      </c>
      <c r="E16" s="380">
        <f>AVERAGE(D16:D18)</f>
        <v>41.066666666666663</v>
      </c>
      <c r="F16" s="375"/>
      <c r="G16" s="377">
        <v>4</v>
      </c>
      <c r="H16" s="155" t="s">
        <v>28</v>
      </c>
      <c r="I16" s="146" t="s">
        <v>27</v>
      </c>
      <c r="J16" s="147">
        <v>41.16</v>
      </c>
      <c r="K16" s="380">
        <f>AVERAGE(J16:J18)</f>
        <v>41.196666666666665</v>
      </c>
      <c r="M16" s="333"/>
      <c r="N16"/>
    </row>
    <row r="17" spans="1:14" s="2" customFormat="1" ht="21.95" customHeight="1">
      <c r="A17" s="378"/>
      <c r="B17" s="261" t="s">
        <v>31</v>
      </c>
      <c r="C17" s="262" t="s">
        <v>86</v>
      </c>
      <c r="D17" s="263">
        <v>41.06</v>
      </c>
      <c r="E17" s="381"/>
      <c r="F17" s="375"/>
      <c r="G17" s="378"/>
      <c r="H17" s="149" t="s">
        <v>32</v>
      </c>
      <c r="I17" s="150" t="s">
        <v>86</v>
      </c>
      <c r="J17" s="151">
        <v>41.2</v>
      </c>
      <c r="K17" s="381"/>
      <c r="M17" s="6"/>
    </row>
    <row r="18" spans="1:14" s="2" customFormat="1" ht="21.95" customHeight="1" thickBot="1">
      <c r="A18" s="379"/>
      <c r="B18" s="152" t="s">
        <v>48</v>
      </c>
      <c r="C18" s="153" t="s">
        <v>50</v>
      </c>
      <c r="D18" s="154">
        <v>41.1</v>
      </c>
      <c r="E18" s="382"/>
      <c r="F18" s="375"/>
      <c r="G18" s="379"/>
      <c r="H18" s="158" t="s">
        <v>28</v>
      </c>
      <c r="I18" s="153" t="s">
        <v>27</v>
      </c>
      <c r="J18" s="154">
        <v>41.23</v>
      </c>
      <c r="K18" s="382"/>
      <c r="M18" s="6"/>
    </row>
    <row r="19" spans="1:14" s="2" customFormat="1" ht="21.95" customHeight="1">
      <c r="A19" s="377">
        <v>21</v>
      </c>
      <c r="B19" s="145" t="s">
        <v>32</v>
      </c>
      <c r="C19" s="146" t="s">
        <v>86</v>
      </c>
      <c r="D19" s="147">
        <v>40.99</v>
      </c>
      <c r="E19" s="380">
        <f>AVERAGE(D19:D21)</f>
        <v>41.083333333333336</v>
      </c>
      <c r="F19" s="375"/>
      <c r="G19" s="377">
        <v>5</v>
      </c>
      <c r="H19" s="145" t="s">
        <v>9</v>
      </c>
      <c r="I19" s="146" t="s">
        <v>8</v>
      </c>
      <c r="J19" s="147">
        <v>41.04</v>
      </c>
      <c r="K19" s="380">
        <f>AVERAGE(J19:J21)</f>
        <v>41.24666666666667</v>
      </c>
      <c r="M19" s="6"/>
    </row>
    <row r="20" spans="1:14" s="2" customFormat="1" ht="21.95" customHeight="1">
      <c r="A20" s="378"/>
      <c r="B20" s="149" t="s">
        <v>9</v>
      </c>
      <c r="C20" s="150" t="s">
        <v>8</v>
      </c>
      <c r="D20" s="151">
        <v>41.11</v>
      </c>
      <c r="E20" s="381"/>
      <c r="F20" s="375"/>
      <c r="G20" s="378"/>
      <c r="H20" s="157" t="s">
        <v>28</v>
      </c>
      <c r="I20" s="150" t="s">
        <v>27</v>
      </c>
      <c r="J20" s="151">
        <v>41.33</v>
      </c>
      <c r="K20" s="381"/>
      <c r="M20" s="6"/>
      <c r="N20"/>
    </row>
    <row r="21" spans="1:14" s="2" customFormat="1" ht="21.95" customHeight="1" thickBot="1">
      <c r="A21" s="379"/>
      <c r="B21" s="163" t="s">
        <v>9</v>
      </c>
      <c r="C21" s="153" t="s">
        <v>8</v>
      </c>
      <c r="D21" s="154">
        <v>41.15</v>
      </c>
      <c r="E21" s="382"/>
      <c r="F21" s="375"/>
      <c r="G21" s="379"/>
      <c r="H21" s="152" t="s">
        <v>115</v>
      </c>
      <c r="I21" s="153" t="s">
        <v>43</v>
      </c>
      <c r="J21" s="154">
        <v>41.37</v>
      </c>
      <c r="K21" s="382"/>
      <c r="M21" s="161"/>
      <c r="N21"/>
    </row>
    <row r="22" spans="1:14" s="2" customFormat="1" ht="21.95" customHeight="1">
      <c r="A22" s="377">
        <v>1</v>
      </c>
      <c r="B22" s="145" t="s">
        <v>31</v>
      </c>
      <c r="C22" s="146" t="s">
        <v>86</v>
      </c>
      <c r="D22" s="147">
        <v>40.97</v>
      </c>
      <c r="E22" s="380">
        <f>AVERAGE(D22:D24)</f>
        <v>41.113333333333337</v>
      </c>
      <c r="F22" s="376"/>
      <c r="G22" s="377">
        <v>3</v>
      </c>
      <c r="H22" s="145" t="s">
        <v>10</v>
      </c>
      <c r="I22" s="146" t="s">
        <v>8</v>
      </c>
      <c r="J22" s="147">
        <v>41.15</v>
      </c>
      <c r="K22" s="380">
        <f>AVERAGE(J22:J24)</f>
        <v>41.254999999999995</v>
      </c>
      <c r="M22" s="161"/>
      <c r="N22"/>
    </row>
    <row r="23" spans="1:14" s="2" customFormat="1" ht="21.95" customHeight="1">
      <c r="A23" s="378"/>
      <c r="B23" s="149" t="s">
        <v>33</v>
      </c>
      <c r="C23" s="150" t="s">
        <v>27</v>
      </c>
      <c r="D23" s="151">
        <v>41.17</v>
      </c>
      <c r="E23" s="381"/>
      <c r="F23" s="376"/>
      <c r="G23" s="378"/>
      <c r="H23" s="149" t="s">
        <v>47</v>
      </c>
      <c r="I23" s="150" t="s">
        <v>50</v>
      </c>
      <c r="J23" s="151">
        <v>41.36</v>
      </c>
      <c r="K23" s="381"/>
      <c r="M23" s="161"/>
      <c r="N23"/>
    </row>
    <row r="24" spans="1:14" s="2" customFormat="1" ht="21.95" customHeight="1" thickBot="1">
      <c r="A24" s="379"/>
      <c r="B24" s="152" t="s">
        <v>10</v>
      </c>
      <c r="C24" s="153" t="s">
        <v>8</v>
      </c>
      <c r="D24" s="154">
        <v>41.2</v>
      </c>
      <c r="E24" s="382"/>
      <c r="F24" s="376"/>
      <c r="G24" s="379"/>
      <c r="H24" s="152"/>
      <c r="I24" s="153"/>
      <c r="J24" s="154"/>
      <c r="K24" s="382"/>
      <c r="M24" s="161"/>
    </row>
    <row r="25" spans="1:14" ht="21.95" customHeight="1">
      <c r="A25" s="377">
        <v>10</v>
      </c>
      <c r="B25" s="155" t="s">
        <v>33</v>
      </c>
      <c r="C25" s="146" t="s">
        <v>27</v>
      </c>
      <c r="D25" s="147">
        <v>41.06</v>
      </c>
      <c r="E25" s="380">
        <f>AVERAGE(D25:D27)</f>
        <v>41.133333333333333</v>
      </c>
      <c r="G25" s="377">
        <v>9</v>
      </c>
      <c r="H25" s="156" t="s">
        <v>48</v>
      </c>
      <c r="I25" s="146" t="s">
        <v>50</v>
      </c>
      <c r="J25" s="147">
        <v>41.11</v>
      </c>
      <c r="K25" s="380">
        <f>AVERAGE(J25:J27)</f>
        <v>41.389999999999993</v>
      </c>
    </row>
    <row r="26" spans="1:14" ht="21.95" customHeight="1">
      <c r="A26" s="378"/>
      <c r="B26" s="149" t="s">
        <v>33</v>
      </c>
      <c r="C26" s="150" t="s">
        <v>27</v>
      </c>
      <c r="D26" s="151">
        <v>41.08</v>
      </c>
      <c r="E26" s="381"/>
      <c r="G26" s="378"/>
      <c r="H26" s="157" t="s">
        <v>33</v>
      </c>
      <c r="I26" s="150" t="s">
        <v>27</v>
      </c>
      <c r="J26" s="151">
        <v>41.46</v>
      </c>
      <c r="K26" s="381"/>
    </row>
    <row r="27" spans="1:14" ht="21.95" customHeight="1" thickBot="1">
      <c r="A27" s="379"/>
      <c r="B27" s="152" t="s">
        <v>48</v>
      </c>
      <c r="C27" s="153" t="s">
        <v>50</v>
      </c>
      <c r="D27" s="154">
        <v>41.26</v>
      </c>
      <c r="E27" s="382"/>
      <c r="G27" s="379"/>
      <c r="H27" s="159" t="s">
        <v>115</v>
      </c>
      <c r="I27" s="153" t="s">
        <v>43</v>
      </c>
      <c r="J27" s="154">
        <v>41.6</v>
      </c>
      <c r="K27" s="382"/>
    </row>
    <row r="28" spans="1:14" ht="16.5" customHeight="1">
      <c r="I28"/>
      <c r="J28"/>
      <c r="K28"/>
    </row>
  </sheetData>
  <mergeCells count="41">
    <mergeCell ref="A10:A12"/>
    <mergeCell ref="E10:E12"/>
    <mergeCell ref="G16:G18"/>
    <mergeCell ref="K16:K18"/>
    <mergeCell ref="A25:A27"/>
    <mergeCell ref="E25:E27"/>
    <mergeCell ref="G7:G9"/>
    <mergeCell ref="K7:K9"/>
    <mergeCell ref="G19:G21"/>
    <mergeCell ref="K19:K21"/>
    <mergeCell ref="A7:A9"/>
    <mergeCell ref="E7:E9"/>
    <mergeCell ref="A13:A15"/>
    <mergeCell ref="E13:E15"/>
    <mergeCell ref="A16:A18"/>
    <mergeCell ref="E16:E18"/>
    <mergeCell ref="G10:G12"/>
    <mergeCell ref="K10:K12"/>
    <mergeCell ref="A19:A21"/>
    <mergeCell ref="E19:E21"/>
    <mergeCell ref="K13:K15"/>
    <mergeCell ref="G25:G27"/>
    <mergeCell ref="K25:K27"/>
    <mergeCell ref="G22:G24"/>
    <mergeCell ref="K22:K24"/>
    <mergeCell ref="A1:K1"/>
    <mergeCell ref="A3:K3"/>
    <mergeCell ref="A5:A6"/>
    <mergeCell ref="B5:B6"/>
    <mergeCell ref="C5:C6"/>
    <mergeCell ref="D5:D6"/>
    <mergeCell ref="E5:E6"/>
    <mergeCell ref="F5:F24"/>
    <mergeCell ref="G5:G6"/>
    <mergeCell ref="H5:H6"/>
    <mergeCell ref="I5:I6"/>
    <mergeCell ref="J5:J6"/>
    <mergeCell ref="K5:K6"/>
    <mergeCell ref="A22:A24"/>
    <mergeCell ref="E22:E24"/>
    <mergeCell ref="G13:G15"/>
  </mergeCells>
  <pageMargins left="0.70866141732283472" right="0.51181102362204722" top="0.35433070866141736" bottom="0.35433070866141736" header="0.31496062992125984" footer="0.31496062992125984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B0F0"/>
  </sheetPr>
  <dimension ref="A1:V64"/>
  <sheetViews>
    <sheetView topLeftCell="A7" zoomScale="80" zoomScaleNormal="80" workbookViewId="0">
      <selection activeCell="H36" sqref="H36"/>
    </sheetView>
  </sheetViews>
  <sheetFormatPr defaultRowHeight="15.75"/>
  <cols>
    <col min="1" max="2" width="9.140625" style="164"/>
    <col min="3" max="3" width="4.42578125" customWidth="1"/>
    <col min="5" max="5" width="9" customWidth="1"/>
    <col min="6" max="6" width="9" style="1" customWidth="1"/>
    <col min="11" max="11" width="9.5703125" customWidth="1"/>
    <col min="14" max="14" width="7.85546875" customWidth="1"/>
    <col min="15" max="15" width="19.140625" customWidth="1"/>
    <col min="16" max="16" width="9.28515625" bestFit="1" customWidth="1"/>
    <col min="17" max="17" width="11" customWidth="1"/>
    <col min="19" max="19" width="9.28515625" customWidth="1"/>
    <col min="20" max="20" width="6" customWidth="1"/>
    <col min="21" max="21" width="15.7109375" customWidth="1"/>
    <col min="22" max="22" width="10.7109375" style="1" customWidth="1"/>
  </cols>
  <sheetData>
    <row r="1" spans="1:19" ht="18" customHeight="1">
      <c r="A1" s="344" t="s">
        <v>150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</row>
    <row r="2" spans="1:19" ht="3.75" customHeight="1" thickBot="1"/>
    <row r="3" spans="1:19" ht="15.75" customHeight="1" thickBot="1">
      <c r="A3" s="383" t="s">
        <v>104</v>
      </c>
      <c r="B3" s="384"/>
      <c r="D3" s="385" t="s">
        <v>114</v>
      </c>
      <c r="E3" s="386"/>
      <c r="F3" s="387"/>
      <c r="G3" s="383" t="s">
        <v>43</v>
      </c>
      <c r="H3" s="388"/>
      <c r="I3" s="384"/>
      <c r="J3" s="389" t="s">
        <v>50</v>
      </c>
      <c r="K3" s="390"/>
      <c r="L3" s="391"/>
      <c r="N3" s="392" t="s">
        <v>105</v>
      </c>
      <c r="O3" s="392"/>
      <c r="P3" s="392"/>
      <c r="Q3" s="392"/>
    </row>
    <row r="4" spans="1:19" s="2" customFormat="1" ht="18" customHeight="1" thickBot="1">
      <c r="A4" s="165" t="s">
        <v>7</v>
      </c>
      <c r="B4" s="166" t="s">
        <v>106</v>
      </c>
      <c r="D4" s="167" t="s">
        <v>107</v>
      </c>
      <c r="E4" s="53" t="s">
        <v>108</v>
      </c>
      <c r="F4" s="168" t="s">
        <v>109</v>
      </c>
      <c r="G4" s="169" t="s">
        <v>107</v>
      </c>
      <c r="H4" s="170" t="s">
        <v>108</v>
      </c>
      <c r="I4" s="171" t="s">
        <v>109</v>
      </c>
      <c r="J4" s="167" t="s">
        <v>107</v>
      </c>
      <c r="K4" s="53" t="s">
        <v>108</v>
      </c>
      <c r="L4" s="168" t="s">
        <v>109</v>
      </c>
      <c r="N4" s="393" t="s">
        <v>110</v>
      </c>
      <c r="O4" s="396" t="s">
        <v>91</v>
      </c>
      <c r="P4" s="399" t="s">
        <v>135</v>
      </c>
      <c r="Q4" s="400"/>
      <c r="R4" s="399" t="s">
        <v>129</v>
      </c>
      <c r="S4" s="400"/>
    </row>
    <row r="5" spans="1:19" ht="15" customHeight="1">
      <c r="A5" s="172">
        <v>1</v>
      </c>
      <c r="B5" s="173">
        <v>41.11</v>
      </c>
      <c r="D5" s="174">
        <v>15</v>
      </c>
      <c r="E5" s="5">
        <v>43</v>
      </c>
      <c r="F5" s="175">
        <f>(VLOOKUP(D5,$A$5:$B$18,2)-$B$16)*E5</f>
        <v>0</v>
      </c>
      <c r="G5" s="172">
        <v>14</v>
      </c>
      <c r="H5" s="5">
        <v>43</v>
      </c>
      <c r="I5" s="176">
        <f>(VLOOKUP(G5,$A$5:$B$18,2)-$B$16)*H5</f>
        <v>6.8800000000001589</v>
      </c>
      <c r="J5" s="177">
        <v>9</v>
      </c>
      <c r="K5" s="4">
        <v>43</v>
      </c>
      <c r="L5" s="267">
        <f>(VLOOKUP(J5,$A$5:$B$18,2)-$B$16)*K5</f>
        <v>20.640000000000171</v>
      </c>
      <c r="N5" s="394"/>
      <c r="O5" s="397"/>
      <c r="P5" s="401"/>
      <c r="Q5" s="402"/>
      <c r="R5" s="401"/>
      <c r="S5" s="402"/>
    </row>
    <row r="6" spans="1:19" ht="15" customHeight="1" thickBot="1">
      <c r="A6" s="178">
        <v>2</v>
      </c>
      <c r="B6" s="179">
        <v>41.01</v>
      </c>
      <c r="D6" s="180">
        <v>6</v>
      </c>
      <c r="E6" s="3">
        <v>23</v>
      </c>
      <c r="F6" s="175">
        <f t="shared" ref="F6:F12" si="0">(VLOOKUP(D6,$A$5:$B$18,2)-$B$16)*E6</f>
        <v>5.5200000000000458</v>
      </c>
      <c r="G6" s="178">
        <v>2</v>
      </c>
      <c r="H6" s="3">
        <v>40</v>
      </c>
      <c r="I6" s="181">
        <f t="shared" ref="I6:I12" si="1">(VLOOKUP(G6,$A$5:$B$18,2)-$B$16)*H6</f>
        <v>4.0000000000000568</v>
      </c>
      <c r="J6" s="81">
        <v>88</v>
      </c>
      <c r="K6" s="3">
        <v>47</v>
      </c>
      <c r="L6" s="175">
        <f t="shared" ref="L6:L12" si="2">(VLOOKUP(J6,$A$5:$B$18,2)-$B$16)*K6</f>
        <v>3.7600000000002538</v>
      </c>
      <c r="N6" s="395"/>
      <c r="O6" s="398"/>
      <c r="P6" s="330" t="s">
        <v>106</v>
      </c>
      <c r="Q6" s="331" t="s">
        <v>111</v>
      </c>
      <c r="R6" s="330" t="s">
        <v>106</v>
      </c>
      <c r="S6" s="331" t="s">
        <v>111</v>
      </c>
    </row>
    <row r="7" spans="1:19" ht="15" customHeight="1">
      <c r="A7" s="178">
        <v>3</v>
      </c>
      <c r="B7" s="179">
        <v>41.26</v>
      </c>
      <c r="D7" s="180">
        <v>15</v>
      </c>
      <c r="E7" s="43">
        <v>59</v>
      </c>
      <c r="F7" s="175">
        <f t="shared" si="0"/>
        <v>0</v>
      </c>
      <c r="G7" s="178">
        <v>9</v>
      </c>
      <c r="H7" s="3">
        <v>21</v>
      </c>
      <c r="I7" s="181">
        <f t="shared" si="1"/>
        <v>10.080000000000084</v>
      </c>
      <c r="J7" s="81">
        <v>7</v>
      </c>
      <c r="K7" s="3">
        <v>63</v>
      </c>
      <c r="L7" s="175">
        <f t="shared" si="2"/>
        <v>15.120000000000125</v>
      </c>
      <c r="N7" s="403">
        <v>1</v>
      </c>
      <c r="O7" s="405" t="s">
        <v>114</v>
      </c>
      <c r="P7" s="407">
        <f>F13-$F$13</f>
        <v>0</v>
      </c>
      <c r="Q7" s="408">
        <v>0</v>
      </c>
      <c r="R7" s="407">
        <v>0</v>
      </c>
      <c r="S7" s="408">
        <v>0</v>
      </c>
    </row>
    <row r="8" spans="1:19" ht="15" customHeight="1">
      <c r="A8" s="178">
        <v>4</v>
      </c>
      <c r="B8" s="179">
        <v>41.2</v>
      </c>
      <c r="D8" s="180">
        <v>11</v>
      </c>
      <c r="E8" s="43">
        <v>28</v>
      </c>
      <c r="F8" s="204">
        <f t="shared" si="0"/>
        <v>6.4400000000001114</v>
      </c>
      <c r="G8" s="178">
        <v>5</v>
      </c>
      <c r="H8" s="3">
        <v>41</v>
      </c>
      <c r="I8" s="266">
        <f t="shared" si="1"/>
        <v>13.94000000000014</v>
      </c>
      <c r="J8" s="182">
        <v>10</v>
      </c>
      <c r="K8" s="3">
        <v>41</v>
      </c>
      <c r="L8" s="175">
        <f t="shared" si="2"/>
        <v>9.0200000000002447</v>
      </c>
      <c r="N8" s="404"/>
      <c r="O8" s="406"/>
      <c r="P8" s="404"/>
      <c r="Q8" s="409"/>
      <c r="R8" s="404"/>
      <c r="S8" s="409"/>
    </row>
    <row r="9" spans="1:19" ht="15" customHeight="1">
      <c r="A9" s="178">
        <v>5</v>
      </c>
      <c r="B9" s="179">
        <v>41.25</v>
      </c>
      <c r="D9" s="180">
        <v>15</v>
      </c>
      <c r="E9" s="43">
        <v>61</v>
      </c>
      <c r="F9" s="175">
        <f t="shared" si="0"/>
        <v>0</v>
      </c>
      <c r="G9" s="178">
        <v>88</v>
      </c>
      <c r="H9" s="3">
        <v>56</v>
      </c>
      <c r="I9" s="181">
        <f t="shared" si="1"/>
        <v>4.4800000000003024</v>
      </c>
      <c r="J9" s="81">
        <v>6</v>
      </c>
      <c r="K9" s="3">
        <v>58</v>
      </c>
      <c r="L9" s="175">
        <f t="shared" si="2"/>
        <v>13.920000000000115</v>
      </c>
      <c r="N9" s="404">
        <v>2</v>
      </c>
      <c r="O9" s="406" t="s">
        <v>43</v>
      </c>
      <c r="P9" s="414">
        <f>I13-$F$13</f>
        <v>19.450000000000188</v>
      </c>
      <c r="Q9" s="410">
        <f>P9/$B$19</f>
        <v>0.47287440955821519</v>
      </c>
      <c r="R9" s="414">
        <v>5</v>
      </c>
      <c r="S9" s="410">
        <f>R9/$B$19</f>
        <v>0.121561544873576</v>
      </c>
    </row>
    <row r="10" spans="1:19" ht="15" customHeight="1">
      <c r="A10" s="178">
        <v>6</v>
      </c>
      <c r="B10" s="179">
        <v>41.15</v>
      </c>
      <c r="D10" s="180">
        <v>11</v>
      </c>
      <c r="E10" s="43">
        <v>35</v>
      </c>
      <c r="F10" s="175">
        <f t="shared" si="0"/>
        <v>8.0500000000001393</v>
      </c>
      <c r="G10" s="178">
        <v>7</v>
      </c>
      <c r="H10" s="3">
        <v>47</v>
      </c>
      <c r="I10" s="181">
        <f t="shared" si="1"/>
        <v>11.280000000000094</v>
      </c>
      <c r="J10" s="182">
        <v>14</v>
      </c>
      <c r="K10" s="3">
        <v>35</v>
      </c>
      <c r="L10" s="175">
        <f t="shared" si="2"/>
        <v>5.6000000000001293</v>
      </c>
      <c r="N10" s="404"/>
      <c r="O10" s="406"/>
      <c r="P10" s="404"/>
      <c r="Q10" s="411"/>
      <c r="R10" s="404"/>
      <c r="S10" s="411"/>
    </row>
    <row r="11" spans="1:19" ht="15" customHeight="1">
      <c r="A11" s="178">
        <v>7</v>
      </c>
      <c r="B11" s="179">
        <v>41.15</v>
      </c>
      <c r="D11" s="180">
        <v>88</v>
      </c>
      <c r="E11" s="43">
        <v>37</v>
      </c>
      <c r="F11" s="175">
        <f t="shared" si="0"/>
        <v>2.9600000000001998</v>
      </c>
      <c r="G11" s="178">
        <v>15</v>
      </c>
      <c r="H11" s="3">
        <v>58</v>
      </c>
      <c r="I11" s="181">
        <f t="shared" si="1"/>
        <v>0</v>
      </c>
      <c r="J11" s="182">
        <v>7</v>
      </c>
      <c r="K11" s="3">
        <v>23</v>
      </c>
      <c r="L11" s="204">
        <f t="shared" si="2"/>
        <v>5.5200000000000458</v>
      </c>
      <c r="N11" s="404">
        <v>3</v>
      </c>
      <c r="O11" s="405" t="s">
        <v>86</v>
      </c>
      <c r="P11" s="414">
        <f>F25-$F$13</f>
        <v>22.830000000000354</v>
      </c>
      <c r="Q11" s="410">
        <f>P11/$B$19</f>
        <v>0.55505001389275654</v>
      </c>
      <c r="R11" s="414">
        <v>47.7</v>
      </c>
      <c r="S11" s="410">
        <f t="shared" ref="S11" si="3">R11/$B$19</f>
        <v>1.1596971380939149</v>
      </c>
    </row>
    <row r="12" spans="1:19" ht="16.5" thickBot="1">
      <c r="A12" s="178">
        <v>9</v>
      </c>
      <c r="B12" s="179">
        <v>41.39</v>
      </c>
      <c r="D12" s="178">
        <v>11</v>
      </c>
      <c r="E12" s="3">
        <v>48</v>
      </c>
      <c r="F12" s="265">
        <f t="shared" si="0"/>
        <v>11.040000000000191</v>
      </c>
      <c r="G12" s="167">
        <v>2</v>
      </c>
      <c r="H12" s="53">
        <v>28</v>
      </c>
      <c r="I12" s="183">
        <f t="shared" si="1"/>
        <v>2.8000000000000398</v>
      </c>
      <c r="J12" s="81">
        <v>3</v>
      </c>
      <c r="K12" s="3">
        <v>24</v>
      </c>
      <c r="L12" s="175">
        <f t="shared" si="2"/>
        <v>8.4000000000000341</v>
      </c>
      <c r="N12" s="404"/>
      <c r="O12" s="406"/>
      <c r="P12" s="404"/>
      <c r="Q12" s="411"/>
      <c r="R12" s="404"/>
      <c r="S12" s="411"/>
    </row>
    <row r="13" spans="1:19" ht="16.5" thickBot="1">
      <c r="A13" s="178">
        <v>10</v>
      </c>
      <c r="B13" s="179">
        <v>41.13</v>
      </c>
      <c r="D13" s="412" t="s">
        <v>112</v>
      </c>
      <c r="E13" s="413"/>
      <c r="F13" s="184">
        <f>SUM(F5:F12)</f>
        <v>34.010000000000687</v>
      </c>
      <c r="G13" s="415" t="s">
        <v>112</v>
      </c>
      <c r="H13" s="416"/>
      <c r="I13" s="185">
        <f>SUM(I5:I12)</f>
        <v>53.460000000000875</v>
      </c>
      <c r="J13" s="412" t="s">
        <v>112</v>
      </c>
      <c r="K13" s="413"/>
      <c r="L13" s="186">
        <f>SUM(L5:L12)</f>
        <v>81.980000000001127</v>
      </c>
      <c r="N13" s="404">
        <v>4</v>
      </c>
      <c r="O13" s="406" t="s">
        <v>87</v>
      </c>
      <c r="P13" s="414">
        <f>L25-$F$13</f>
        <v>44.560000000000073</v>
      </c>
      <c r="Q13" s="410">
        <f>P13/$B$19</f>
        <v>1.0833564879133111</v>
      </c>
      <c r="R13" s="414">
        <v>16.5</v>
      </c>
      <c r="S13" s="410">
        <f t="shared" ref="S13" si="4">R13/$B$19</f>
        <v>0.40115309808280075</v>
      </c>
    </row>
    <row r="14" spans="1:19" ht="16.5" thickBot="1">
      <c r="A14" s="178">
        <v>11</v>
      </c>
      <c r="B14" s="179">
        <v>41.14</v>
      </c>
      <c r="D14" s="187"/>
      <c r="E14" s="187"/>
      <c r="F14" s="187"/>
      <c r="G14" s="187"/>
      <c r="H14" s="187"/>
      <c r="I14" s="187"/>
      <c r="J14" s="187"/>
      <c r="K14" s="187"/>
      <c r="L14" s="188"/>
      <c r="M14" s="188"/>
      <c r="N14" s="404"/>
      <c r="O14" s="406"/>
      <c r="P14" s="404"/>
      <c r="Q14" s="411"/>
      <c r="R14" s="404"/>
      <c r="S14" s="411"/>
    </row>
    <row r="15" spans="1:19">
      <c r="A15" s="178">
        <v>14</v>
      </c>
      <c r="B15" s="179">
        <v>41.07</v>
      </c>
      <c r="D15" s="385" t="s">
        <v>86</v>
      </c>
      <c r="E15" s="386"/>
      <c r="F15" s="387"/>
      <c r="G15" s="385" t="s">
        <v>27</v>
      </c>
      <c r="H15" s="386"/>
      <c r="I15" s="387"/>
      <c r="J15" s="385" t="s">
        <v>87</v>
      </c>
      <c r="K15" s="386"/>
      <c r="L15" s="387"/>
      <c r="N15" s="404">
        <v>5</v>
      </c>
      <c r="O15" s="406" t="s">
        <v>50</v>
      </c>
      <c r="P15" s="414">
        <f>L13-$F$13</f>
        <v>47.970000000000439</v>
      </c>
      <c r="Q15" s="410">
        <f>P15/$B$19</f>
        <v>1.1662614615170988</v>
      </c>
      <c r="R15" s="414">
        <v>27.5</v>
      </c>
      <c r="S15" s="410">
        <f t="shared" ref="S15" si="5">R15/$B$19</f>
        <v>0.66858849680466792</v>
      </c>
    </row>
    <row r="16" spans="1:19" ht="16.5" thickBot="1">
      <c r="A16" s="178">
        <v>15</v>
      </c>
      <c r="B16" s="179">
        <v>40.909999999999997</v>
      </c>
      <c r="D16" s="167" t="s">
        <v>107</v>
      </c>
      <c r="E16" s="53" t="s">
        <v>108</v>
      </c>
      <c r="F16" s="168" t="s">
        <v>109</v>
      </c>
      <c r="G16" s="190" t="s">
        <v>107</v>
      </c>
      <c r="H16" s="191" t="s">
        <v>108</v>
      </c>
      <c r="I16" s="192" t="s">
        <v>109</v>
      </c>
      <c r="J16" s="167" t="s">
        <v>107</v>
      </c>
      <c r="K16" s="53" t="s">
        <v>108</v>
      </c>
      <c r="L16" s="168" t="s">
        <v>109</v>
      </c>
      <c r="N16" s="404"/>
      <c r="O16" s="406"/>
      <c r="P16" s="404"/>
      <c r="Q16" s="411"/>
      <c r="R16" s="404"/>
      <c r="S16" s="411"/>
    </row>
    <row r="17" spans="1:22">
      <c r="A17" s="178">
        <v>21</v>
      </c>
      <c r="B17" s="189">
        <v>41.08</v>
      </c>
      <c r="D17" s="174">
        <v>4</v>
      </c>
      <c r="E17" s="4">
        <v>43</v>
      </c>
      <c r="F17" s="267">
        <f>(VLOOKUP(D17,$A$5:$B$18,2)-$B$16)*E17</f>
        <v>12.470000000000269</v>
      </c>
      <c r="G17" s="36">
        <v>1</v>
      </c>
      <c r="H17" s="4">
        <v>43</v>
      </c>
      <c r="I17" s="175">
        <f>(VLOOKUP(G17,$A$5:$B$18,2)-$B$16)*H17</f>
        <v>8.6000000000001222</v>
      </c>
      <c r="J17" s="174">
        <v>7</v>
      </c>
      <c r="K17" s="35">
        <v>44</v>
      </c>
      <c r="L17" s="204">
        <f>(VLOOKUP(J17,$A$5:$B$18,2)-$B$16)*K17</f>
        <v>10.560000000000088</v>
      </c>
      <c r="N17" s="404">
        <v>6</v>
      </c>
      <c r="O17" s="406" t="s">
        <v>27</v>
      </c>
      <c r="P17" s="414">
        <f>I25-$F$13</f>
        <v>59.1200000000009</v>
      </c>
      <c r="Q17" s="410">
        <f>P17/$B$19</f>
        <v>1.4373437065851844</v>
      </c>
      <c r="R17" s="414">
        <v>51.9</v>
      </c>
      <c r="S17" s="410">
        <f t="shared" ref="S17" si="6">R17/$B$19</f>
        <v>1.2618088357877189</v>
      </c>
    </row>
    <row r="18" spans="1:22" ht="16.5" thickBot="1">
      <c r="A18" s="190">
        <v>88</v>
      </c>
      <c r="B18" s="192">
        <v>40.99</v>
      </c>
      <c r="D18" s="178">
        <v>11</v>
      </c>
      <c r="E18" s="3">
        <v>22</v>
      </c>
      <c r="F18" s="175">
        <f t="shared" ref="F18:F24" si="7">(VLOOKUP(D18,$A$5:$B$18,2)-$B$16)*E18</f>
        <v>5.0600000000000875</v>
      </c>
      <c r="G18" s="41">
        <v>5</v>
      </c>
      <c r="H18" s="3">
        <v>21</v>
      </c>
      <c r="I18" s="175">
        <f t="shared" ref="I18:I24" si="8">(VLOOKUP(G18,$A$5:$B$18,2)-$B$16)*H18</f>
        <v>7.1400000000000716</v>
      </c>
      <c r="J18" s="180">
        <v>21</v>
      </c>
      <c r="K18" s="43">
        <v>40</v>
      </c>
      <c r="L18" s="175">
        <f t="shared" ref="L18:L24" si="9">(VLOOKUP(J18,$A$5:$B$18,2)-$B$16)*K18</f>
        <v>6.8000000000000682</v>
      </c>
      <c r="N18" s="404"/>
      <c r="O18" s="406"/>
      <c r="P18" s="404"/>
      <c r="Q18" s="411"/>
      <c r="R18" s="404"/>
      <c r="S18" s="411"/>
    </row>
    <row r="19" spans="1:22" ht="15.75" customHeight="1" thickBot="1">
      <c r="A19" s="193" t="s">
        <v>113</v>
      </c>
      <c r="B19" s="194">
        <f>AVERAGE(B5:B18)</f>
        <v>41.131428571428572</v>
      </c>
      <c r="D19" s="178">
        <v>14</v>
      </c>
      <c r="E19" s="43">
        <v>59</v>
      </c>
      <c r="F19" s="175">
        <f t="shared" si="7"/>
        <v>9.440000000000218</v>
      </c>
      <c r="G19" s="41">
        <v>10</v>
      </c>
      <c r="H19" s="3">
        <v>40</v>
      </c>
      <c r="I19" s="204">
        <f t="shared" si="8"/>
        <v>8.8000000000002387</v>
      </c>
      <c r="J19" s="180">
        <v>1</v>
      </c>
      <c r="K19" s="43">
        <v>42</v>
      </c>
      <c r="L19" s="175">
        <f t="shared" si="9"/>
        <v>8.4000000000001194</v>
      </c>
      <c r="N19" s="404">
        <v>7</v>
      </c>
      <c r="O19" s="406" t="s">
        <v>24</v>
      </c>
      <c r="P19" s="421">
        <f>F37-$F$13</f>
        <v>74.430000000000518</v>
      </c>
      <c r="Q19" s="417">
        <f>P19/$B$19</f>
        <v>1.8095651569880649</v>
      </c>
      <c r="R19" s="421">
        <f>Q19/$B$19</f>
        <v>4.3994707206572843E-2</v>
      </c>
      <c r="S19" s="423">
        <v>0</v>
      </c>
    </row>
    <row r="20" spans="1:22" ht="16.5" thickBot="1">
      <c r="D20" s="180">
        <v>2</v>
      </c>
      <c r="E20" s="43">
        <v>35</v>
      </c>
      <c r="F20" s="175">
        <f t="shared" si="7"/>
        <v>3.5000000000000497</v>
      </c>
      <c r="G20" s="41">
        <v>6</v>
      </c>
      <c r="H20" s="3">
        <v>41</v>
      </c>
      <c r="I20" s="175">
        <f t="shared" si="8"/>
        <v>9.8400000000000816</v>
      </c>
      <c r="J20" s="180">
        <v>21</v>
      </c>
      <c r="K20" s="43">
        <v>37</v>
      </c>
      <c r="L20" s="175">
        <f t="shared" si="9"/>
        <v>6.2900000000000631</v>
      </c>
      <c r="N20" s="419"/>
      <c r="O20" s="420"/>
      <c r="P20" s="422"/>
      <c r="Q20" s="418"/>
      <c r="R20" s="422"/>
      <c r="S20" s="418"/>
    </row>
    <row r="21" spans="1:22">
      <c r="D21" s="180">
        <v>14</v>
      </c>
      <c r="E21" s="43">
        <v>54</v>
      </c>
      <c r="F21" s="175">
        <f t="shared" si="7"/>
        <v>8.6400000000001995</v>
      </c>
      <c r="G21" s="41">
        <v>9</v>
      </c>
      <c r="H21" s="3">
        <v>37</v>
      </c>
      <c r="I21" s="175">
        <f t="shared" si="8"/>
        <v>17.760000000000147</v>
      </c>
      <c r="J21" s="195">
        <v>1</v>
      </c>
      <c r="K21" s="43">
        <v>52</v>
      </c>
      <c r="L21" s="175">
        <f t="shared" si="9"/>
        <v>10.400000000000148</v>
      </c>
    </row>
    <row r="22" spans="1:22">
      <c r="D22" s="180">
        <v>2</v>
      </c>
      <c r="E22" s="43">
        <v>48</v>
      </c>
      <c r="F22" s="204">
        <f t="shared" si="7"/>
        <v>4.8000000000000682</v>
      </c>
      <c r="G22" s="41">
        <v>4</v>
      </c>
      <c r="H22" s="3">
        <v>65</v>
      </c>
      <c r="I22" s="267">
        <f t="shared" si="8"/>
        <v>18.850000000000406</v>
      </c>
      <c r="J22" s="180">
        <v>21</v>
      </c>
      <c r="K22" s="43">
        <v>26</v>
      </c>
      <c r="L22" s="175">
        <f t="shared" si="9"/>
        <v>4.4200000000000443</v>
      </c>
    </row>
    <row r="23" spans="1:22">
      <c r="D23" s="180">
        <v>1</v>
      </c>
      <c r="E23" s="43">
        <v>23</v>
      </c>
      <c r="F23" s="175">
        <f t="shared" si="7"/>
        <v>4.6000000000000654</v>
      </c>
      <c r="G23" s="41">
        <v>10</v>
      </c>
      <c r="H23" s="3">
        <v>40</v>
      </c>
      <c r="I23" s="175">
        <f t="shared" si="8"/>
        <v>8.8000000000002387</v>
      </c>
      <c r="J23" s="180">
        <v>3</v>
      </c>
      <c r="K23" s="43">
        <v>42</v>
      </c>
      <c r="L23" s="175">
        <f t="shared" si="9"/>
        <v>14.70000000000006</v>
      </c>
      <c r="V23"/>
    </row>
    <row r="24" spans="1:22" ht="16.5" thickBot="1">
      <c r="D24" s="178">
        <v>21</v>
      </c>
      <c r="E24" s="3">
        <v>49</v>
      </c>
      <c r="F24" s="175">
        <f t="shared" si="7"/>
        <v>8.3300000000000836</v>
      </c>
      <c r="G24" s="196">
        <v>4</v>
      </c>
      <c r="H24" s="3">
        <v>46</v>
      </c>
      <c r="I24" s="175">
        <f t="shared" si="8"/>
        <v>13.340000000000288</v>
      </c>
      <c r="J24" s="178">
        <v>5</v>
      </c>
      <c r="K24" s="52">
        <v>50</v>
      </c>
      <c r="L24" s="267">
        <f t="shared" si="9"/>
        <v>17.000000000000171</v>
      </c>
      <c r="V24"/>
    </row>
    <row r="25" spans="1:22" ht="16.5" thickBot="1">
      <c r="D25" s="412" t="s">
        <v>112</v>
      </c>
      <c r="E25" s="413"/>
      <c r="F25" s="197">
        <f>SUM(F17:F24)</f>
        <v>56.840000000001041</v>
      </c>
      <c r="G25" s="412" t="s">
        <v>112</v>
      </c>
      <c r="H25" s="413"/>
      <c r="I25" s="197">
        <f>SUM(I17:I24)</f>
        <v>93.130000000001587</v>
      </c>
      <c r="J25" s="412" t="s">
        <v>112</v>
      </c>
      <c r="K25" s="413"/>
      <c r="L25" s="198">
        <f>SUM(L17:L24)</f>
        <v>78.570000000000761</v>
      </c>
      <c r="V25"/>
    </row>
    <row r="26" spans="1:22" ht="16.5" thickBot="1">
      <c r="V26"/>
    </row>
    <row r="27" spans="1:22">
      <c r="D27" s="385" t="s">
        <v>24</v>
      </c>
      <c r="E27" s="386"/>
      <c r="F27" s="387"/>
      <c r="H27" t="s">
        <v>142</v>
      </c>
      <c r="I27" s="62"/>
      <c r="J27" s="199"/>
      <c r="V27"/>
    </row>
    <row r="28" spans="1:22" ht="16.5" thickBot="1">
      <c r="D28" s="200" t="s">
        <v>107</v>
      </c>
      <c r="E28" s="201" t="s">
        <v>108</v>
      </c>
      <c r="F28" s="202" t="s">
        <v>109</v>
      </c>
      <c r="H28" s="332" t="s">
        <v>143</v>
      </c>
      <c r="I28" s="203"/>
      <c r="J28" s="199"/>
      <c r="N28" s="1"/>
      <c r="V28"/>
    </row>
    <row r="29" spans="1:22">
      <c r="D29" s="172">
        <v>10</v>
      </c>
      <c r="E29" s="5">
        <v>42</v>
      </c>
      <c r="F29" s="176">
        <f>(VLOOKUP(D29,$A$5:$B$18,2)-$B$16)*E29</f>
        <v>9.2400000000002507</v>
      </c>
      <c r="H29" t="s">
        <v>144</v>
      </c>
      <c r="I29" s="205"/>
      <c r="J29" s="199"/>
      <c r="N29" s="1"/>
      <c r="V29"/>
    </row>
    <row r="30" spans="1:22">
      <c r="D30" s="178">
        <v>3</v>
      </c>
      <c r="E30" s="3">
        <v>46</v>
      </c>
      <c r="F30" s="181">
        <f t="shared" ref="F30:F36" si="10">(VLOOKUP(D30,$A$5:$B$18,2)-$B$16)*E30</f>
        <v>16.100000000000065</v>
      </c>
      <c r="H30" t="s">
        <v>145</v>
      </c>
      <c r="I30" s="205"/>
      <c r="J30" s="199"/>
      <c r="M30" s="1"/>
      <c r="N30" s="1"/>
      <c r="V30"/>
    </row>
    <row r="31" spans="1:22">
      <c r="D31" s="178">
        <v>4</v>
      </c>
      <c r="E31" s="3">
        <v>56</v>
      </c>
      <c r="F31" s="181">
        <f t="shared" si="10"/>
        <v>16.24000000000035</v>
      </c>
      <c r="I31" s="203"/>
      <c r="J31" s="199"/>
      <c r="M31" s="1"/>
      <c r="N31" s="1"/>
      <c r="V31"/>
    </row>
    <row r="32" spans="1:22">
      <c r="D32" s="178">
        <v>3</v>
      </c>
      <c r="E32" s="43">
        <v>46</v>
      </c>
      <c r="F32" s="181">
        <f t="shared" si="10"/>
        <v>16.100000000000065</v>
      </c>
      <c r="H32" t="s">
        <v>172</v>
      </c>
      <c r="I32" s="203"/>
      <c r="J32" s="199"/>
      <c r="M32" s="1"/>
      <c r="N32" s="1"/>
      <c r="V32"/>
    </row>
    <row r="33" spans="1:22">
      <c r="D33" s="178">
        <v>5</v>
      </c>
      <c r="E33" s="43">
        <v>44</v>
      </c>
      <c r="F33" s="206">
        <f t="shared" si="10"/>
        <v>14.96000000000015</v>
      </c>
      <c r="H33" t="s">
        <v>148</v>
      </c>
      <c r="I33" s="203"/>
      <c r="J33" s="199"/>
      <c r="M33" s="1"/>
      <c r="N33" s="1"/>
      <c r="V33"/>
    </row>
    <row r="34" spans="1:22">
      <c r="D34" s="178">
        <v>9</v>
      </c>
      <c r="E34" s="43">
        <v>58</v>
      </c>
      <c r="F34" s="266">
        <f t="shared" si="10"/>
        <v>27.840000000000231</v>
      </c>
      <c r="H34" t="s">
        <v>149</v>
      </c>
      <c r="I34" s="203"/>
      <c r="J34" s="199"/>
      <c r="M34" s="1"/>
      <c r="N34" s="1"/>
      <c r="V34"/>
    </row>
    <row r="35" spans="1:22">
      <c r="D35" s="178">
        <v>6</v>
      </c>
      <c r="E35" s="43">
        <v>14</v>
      </c>
      <c r="F35" s="181">
        <f t="shared" si="10"/>
        <v>3.3600000000000279</v>
      </c>
      <c r="I35" s="203"/>
      <c r="J35" s="199"/>
      <c r="M35" s="1"/>
      <c r="N35" s="1"/>
      <c r="V35"/>
    </row>
    <row r="36" spans="1:22" ht="16.5" thickBot="1">
      <c r="A36" s="207"/>
      <c r="B36" s="207"/>
      <c r="D36" s="167">
        <v>1</v>
      </c>
      <c r="E36" s="53">
        <v>23</v>
      </c>
      <c r="F36" s="183">
        <f t="shared" si="10"/>
        <v>4.6000000000000654</v>
      </c>
      <c r="H36" s="328" t="s">
        <v>130</v>
      </c>
      <c r="I36" s="203"/>
      <c r="J36" s="199"/>
      <c r="M36" s="1"/>
      <c r="N36" s="211"/>
      <c r="O36" s="209"/>
      <c r="P36" s="209"/>
      <c r="Q36" s="209"/>
      <c r="V36"/>
    </row>
    <row r="37" spans="1:22" s="209" customFormat="1" ht="16.5" thickBot="1">
      <c r="A37" s="164"/>
      <c r="B37" s="164"/>
      <c r="D37" s="415" t="s">
        <v>112</v>
      </c>
      <c r="E37" s="416"/>
      <c r="F37" s="210">
        <f>SUM(F29:F36)</f>
        <v>108.44000000000121</v>
      </c>
      <c r="G37"/>
      <c r="H37" s="328" t="s">
        <v>131</v>
      </c>
      <c r="I37" s="203"/>
      <c r="J37" s="199"/>
      <c r="K37"/>
      <c r="L37"/>
      <c r="M37" s="1"/>
      <c r="N37" s="211"/>
      <c r="R37"/>
      <c r="S37"/>
      <c r="T37"/>
      <c r="U37"/>
    </row>
    <row r="38" spans="1:22" s="209" customFormat="1">
      <c r="A38" s="208"/>
      <c r="B38" s="164"/>
      <c r="D38" s="212"/>
      <c r="E38" s="212"/>
      <c r="F38" s="213"/>
      <c r="G38"/>
      <c r="H38" s="328" t="s">
        <v>141</v>
      </c>
      <c r="I38" s="203"/>
      <c r="J38" s="199"/>
      <c r="K38"/>
      <c r="L38"/>
      <c r="M38" s="211"/>
      <c r="N38" s="1"/>
      <c r="O38"/>
      <c r="P38"/>
      <c r="Q38"/>
    </row>
    <row r="39" spans="1:22">
      <c r="A39" s="208"/>
      <c r="F39"/>
      <c r="H39" s="329" t="s">
        <v>133</v>
      </c>
      <c r="M39" s="211"/>
      <c r="R39" s="209"/>
      <c r="S39" s="209"/>
      <c r="T39" s="209"/>
      <c r="U39" s="209"/>
      <c r="V39"/>
    </row>
    <row r="40" spans="1:22">
      <c r="A40" s="208"/>
      <c r="H40" s="329" t="s">
        <v>132</v>
      </c>
      <c r="M40" s="1"/>
    </row>
    <row r="41" spans="1:22">
      <c r="A41" s="214"/>
    </row>
    <row r="42" spans="1:22">
      <c r="A42" s="214"/>
    </row>
    <row r="43" spans="1:22" ht="6" customHeight="1">
      <c r="A43" s="214"/>
    </row>
    <row r="44" spans="1:22">
      <c r="A44" s="214"/>
    </row>
    <row r="45" spans="1:22" ht="15" customHeight="1">
      <c r="A45" s="214"/>
    </row>
    <row r="46" spans="1:22" ht="7.5" customHeight="1">
      <c r="A46" s="214"/>
    </row>
    <row r="47" spans="1:22">
      <c r="A47" s="214"/>
    </row>
    <row r="48" spans="1:22">
      <c r="A48" s="208"/>
    </row>
    <row r="49" spans="1:22" ht="6.75" customHeight="1">
      <c r="A49" s="214"/>
    </row>
    <row r="50" spans="1:22">
      <c r="A50" s="208"/>
    </row>
    <row r="51" spans="1:22" s="164" customFormat="1">
      <c r="A51" s="208"/>
      <c r="C51"/>
      <c r="D51"/>
      <c r="E51"/>
      <c r="F51" s="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 s="1"/>
    </row>
    <row r="52" spans="1:22" s="164" customFormat="1">
      <c r="A52" s="208"/>
      <c r="C52"/>
      <c r="D52"/>
      <c r="E52"/>
      <c r="F52" s="1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 s="1"/>
    </row>
    <row r="53" spans="1:22">
      <c r="A53" s="214"/>
    </row>
    <row r="54" spans="1:22" s="164" customFormat="1">
      <c r="A54" s="208"/>
      <c r="C54"/>
      <c r="D54"/>
      <c r="E54"/>
      <c r="F54" s="1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 s="1"/>
    </row>
    <row r="55" spans="1:22" s="164" customFormat="1">
      <c r="A55" s="208"/>
      <c r="C55"/>
      <c r="D55"/>
      <c r="E55"/>
      <c r="F55" s="1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 s="1"/>
    </row>
    <row r="56" spans="1:22" s="164" customFormat="1">
      <c r="A56" s="208"/>
      <c r="C56"/>
      <c r="D56"/>
      <c r="E56"/>
      <c r="F56" s="1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 s="1"/>
    </row>
    <row r="57" spans="1:22" s="164" customFormat="1">
      <c r="A57" s="208"/>
      <c r="C57"/>
      <c r="D57"/>
      <c r="E57"/>
      <c r="F57" s="1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 s="1"/>
    </row>
    <row r="59" spans="1:22" s="164" customFormat="1">
      <c r="A59" s="208"/>
      <c r="C59"/>
      <c r="D59"/>
      <c r="E59"/>
      <c r="F59" s="1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 s="1"/>
    </row>
    <row r="60" spans="1:22" s="164" customFormat="1">
      <c r="A60" s="208"/>
      <c r="C60"/>
      <c r="D60"/>
      <c r="E60"/>
      <c r="F60" s="1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 s="1"/>
    </row>
    <row r="61" spans="1:22" s="164" customFormat="1">
      <c r="A61" s="208"/>
      <c r="C61"/>
      <c r="D61"/>
      <c r="E61"/>
      <c r="F61" s="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 s="1"/>
    </row>
    <row r="63" spans="1:22" s="164" customFormat="1">
      <c r="A63" s="208"/>
      <c r="C63"/>
      <c r="D63"/>
      <c r="E63"/>
      <c r="F63" s="1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 s="1"/>
    </row>
    <row r="64" spans="1:22" s="164" customFormat="1">
      <c r="A64" s="208"/>
      <c r="C64"/>
      <c r="D64"/>
      <c r="E64"/>
      <c r="F64" s="1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 s="1"/>
    </row>
  </sheetData>
  <mergeCells count="63">
    <mergeCell ref="S19:S20"/>
    <mergeCell ref="R17:R18"/>
    <mergeCell ref="R19:R20"/>
    <mergeCell ref="R4:S5"/>
    <mergeCell ref="S7:S8"/>
    <mergeCell ref="S9:S10"/>
    <mergeCell ref="S11:S12"/>
    <mergeCell ref="S13:S14"/>
    <mergeCell ref="S15:S16"/>
    <mergeCell ref="S17:S18"/>
    <mergeCell ref="R7:R8"/>
    <mergeCell ref="R9:R10"/>
    <mergeCell ref="R11:R12"/>
    <mergeCell ref="R13:R14"/>
    <mergeCell ref="R15:R16"/>
    <mergeCell ref="D27:F27"/>
    <mergeCell ref="D37:E37"/>
    <mergeCell ref="N19:N20"/>
    <mergeCell ref="O19:O20"/>
    <mergeCell ref="P19:P20"/>
    <mergeCell ref="Q19:Q20"/>
    <mergeCell ref="D25:E25"/>
    <mergeCell ref="G25:H25"/>
    <mergeCell ref="J25:K25"/>
    <mergeCell ref="Q15:Q16"/>
    <mergeCell ref="N17:N18"/>
    <mergeCell ref="O17:O18"/>
    <mergeCell ref="P17:P18"/>
    <mergeCell ref="Q17:Q18"/>
    <mergeCell ref="D15:F15"/>
    <mergeCell ref="G15:I15"/>
    <mergeCell ref="J15:L15"/>
    <mergeCell ref="N15:N16"/>
    <mergeCell ref="O15:O16"/>
    <mergeCell ref="P15:P16"/>
    <mergeCell ref="D13:E13"/>
    <mergeCell ref="G13:H13"/>
    <mergeCell ref="N13:N14"/>
    <mergeCell ref="O13:O14"/>
    <mergeCell ref="P13:P14"/>
    <mergeCell ref="Q13:Q14"/>
    <mergeCell ref="J13:K13"/>
    <mergeCell ref="N9:N10"/>
    <mergeCell ref="O9:O10"/>
    <mergeCell ref="P9:P10"/>
    <mergeCell ref="Q9:Q10"/>
    <mergeCell ref="N11:N12"/>
    <mergeCell ref="O11:O12"/>
    <mergeCell ref="P11:P12"/>
    <mergeCell ref="Q11:Q12"/>
    <mergeCell ref="N4:N6"/>
    <mergeCell ref="O4:O6"/>
    <mergeCell ref="P4:Q5"/>
    <mergeCell ref="N7:N8"/>
    <mergeCell ref="O7:O8"/>
    <mergeCell ref="P7:P8"/>
    <mergeCell ref="Q7:Q8"/>
    <mergeCell ref="A1:R1"/>
    <mergeCell ref="A3:B3"/>
    <mergeCell ref="D3:F3"/>
    <mergeCell ref="G3:I3"/>
    <mergeCell ref="J3:L3"/>
    <mergeCell ref="N3:Q3"/>
  </mergeCells>
  <pageMargins left="0.31496062992125984" right="0.31496062992125984" top="0.35433070866141736" bottom="0.15748031496062992" header="0.31496062992125984" footer="0.31496062992125984"/>
  <pageSetup paperSize="9" scale="80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C24" sqref="C24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24" t="s">
        <v>73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</row>
    <row r="4" spans="1:15" s="1" customFormat="1" ht="25.5" customHeight="1">
      <c r="A4" s="425" t="s">
        <v>74</v>
      </c>
      <c r="B4" s="427" t="s">
        <v>75</v>
      </c>
      <c r="C4" s="429" t="s">
        <v>2</v>
      </c>
      <c r="D4" s="431" t="s">
        <v>76</v>
      </c>
      <c r="E4" s="433" t="s">
        <v>77</v>
      </c>
      <c r="F4" s="433" t="s">
        <v>84</v>
      </c>
      <c r="G4" s="429" t="s">
        <v>78</v>
      </c>
      <c r="H4" s="429" t="s">
        <v>51</v>
      </c>
      <c r="I4" s="429" t="s">
        <v>79</v>
      </c>
      <c r="J4" s="436" t="s">
        <v>80</v>
      </c>
      <c r="K4" s="437"/>
      <c r="L4" s="429" t="s">
        <v>181</v>
      </c>
      <c r="M4" s="436" t="s">
        <v>81</v>
      </c>
      <c r="N4" s="438"/>
    </row>
    <row r="5" spans="1:15" s="1" customFormat="1" ht="22.5" customHeight="1" thickBot="1">
      <c r="A5" s="426"/>
      <c r="B5" s="428"/>
      <c r="C5" s="430"/>
      <c r="D5" s="432"/>
      <c r="E5" s="434"/>
      <c r="F5" s="434"/>
      <c r="G5" s="430"/>
      <c r="H5" s="430"/>
      <c r="I5" s="430"/>
      <c r="J5" s="31" t="s">
        <v>1</v>
      </c>
      <c r="K5" s="31" t="s">
        <v>0</v>
      </c>
      <c r="L5" s="435"/>
      <c r="M5" s="32" t="s">
        <v>82</v>
      </c>
      <c r="N5" s="33" t="s">
        <v>83</v>
      </c>
    </row>
    <row r="6" spans="1:15" s="2" customFormat="1" ht="30" customHeight="1" thickBot="1">
      <c r="A6" s="439" t="s">
        <v>13</v>
      </c>
      <c r="B6" s="34">
        <v>1</v>
      </c>
      <c r="C6" s="35" t="s">
        <v>16</v>
      </c>
      <c r="D6" s="36">
        <v>15</v>
      </c>
      <c r="E6" s="46">
        <v>40.93</v>
      </c>
      <c r="F6" s="79">
        <f>(41.25+41.35+41.55+41.16+41.64+41.4+41.14+41.07+41.27+41.22+41.19+41.15+41.13+41.14+41.73+41.44+41.14+41.3+41.25+41.1+40.93+41.31+41.37+41.25+41.31+41.46+41.41+41.17+41.76+41.44+41.22+41.34+41.22+41.38+41.26+41.48+41.22+41.51+41.25+41.35)/40</f>
        <v>41.306500000000007</v>
      </c>
      <c r="G6" s="77">
        <v>43</v>
      </c>
      <c r="H6" s="69">
        <f>G6</f>
        <v>43</v>
      </c>
      <c r="I6" s="19">
        <v>2.0648148148148148E-2</v>
      </c>
      <c r="J6" s="19">
        <f>I6</f>
        <v>2.0648148148148148E-2</v>
      </c>
      <c r="K6" s="70">
        <f>J6</f>
        <v>2.0648148148148148E-2</v>
      </c>
      <c r="L6" s="18" t="s">
        <v>173</v>
      </c>
      <c r="M6" s="71">
        <f>F6-E6</f>
        <v>0.37650000000000716</v>
      </c>
      <c r="N6" s="38"/>
    </row>
    <row r="7" spans="1:15" s="2" customFormat="1" ht="30" customHeight="1" thickBot="1">
      <c r="A7" s="440"/>
      <c r="B7" s="39">
        <v>2</v>
      </c>
      <c r="C7" s="40" t="s">
        <v>16</v>
      </c>
      <c r="D7" s="41">
        <v>6</v>
      </c>
      <c r="E7" s="42">
        <v>40.93</v>
      </c>
      <c r="F7" s="82">
        <f>(41.5+41.38+41.59+41.78+41.28+41.18+41.26+41.54+40.97+40.93+41.27+41.17+41.17+41.16+41.24+41.37+41.3+41.54+41.59+41.37+41.79+41.71)/22</f>
        <v>41.367727272727272</v>
      </c>
      <c r="G7" s="3">
        <v>66</v>
      </c>
      <c r="H7" s="3">
        <f t="shared" ref="H7:H13" si="0">G7-G6</f>
        <v>23</v>
      </c>
      <c r="I7" s="18">
        <v>3.2418981481481479E-2</v>
      </c>
      <c r="J7" s="18">
        <f>I7-I6</f>
        <v>1.1770833333333331E-2</v>
      </c>
      <c r="K7" s="20">
        <f>J7+K6</f>
        <v>3.2418981481481479E-2</v>
      </c>
      <c r="L7" s="334" t="s">
        <v>174</v>
      </c>
      <c r="M7" s="44">
        <f t="shared" ref="M7:M13" si="1">F7-E7</f>
        <v>0.43772727272727252</v>
      </c>
      <c r="N7" s="45"/>
    </row>
    <row r="8" spans="1:15" s="2" customFormat="1" ht="30" customHeight="1" thickBot="1">
      <c r="A8" s="440"/>
      <c r="B8" s="39">
        <v>3</v>
      </c>
      <c r="C8" s="43" t="s">
        <v>14</v>
      </c>
      <c r="D8" s="41">
        <v>15</v>
      </c>
      <c r="E8" s="80">
        <v>41.09</v>
      </c>
      <c r="F8" s="79">
        <f>(42.09+41.86+41.7+41.66+41.71+41.45+41.46+41.4+41.47+41.27+41.49+41.45+41.46+41.48+41.46+41.27+41.43+41.17+41.25+41.33+41.39+41.37+41.56+42.02+42.14+41.54+41.3+41.27+41.32+41.26+41.22+41.3+41.23+41.28+41.26+41.16+41.21+41.67+41.11+41.49+41.27+41.7+41.34+41.31+41.2+41.09+41.39+41.44+41.34+41.29+41.24+41.24+41.19+41.25+41.23+41.3+41.4+41.8)/58</f>
        <v>41.413448275862066</v>
      </c>
      <c r="G8" s="81">
        <v>125</v>
      </c>
      <c r="H8" s="3">
        <f t="shared" si="0"/>
        <v>59</v>
      </c>
      <c r="I8" s="18">
        <v>6.1435185185185183E-2</v>
      </c>
      <c r="J8" s="18">
        <f t="shared" ref="J8:J13" si="2">I8-I7</f>
        <v>2.9016203703703704E-2</v>
      </c>
      <c r="K8" s="20">
        <f>J8</f>
        <v>2.9016203703703704E-2</v>
      </c>
      <c r="L8" s="334" t="s">
        <v>175</v>
      </c>
      <c r="M8" s="37">
        <f t="shared" si="1"/>
        <v>0.32344827586206293</v>
      </c>
      <c r="N8" s="45"/>
    </row>
    <row r="9" spans="1:15" s="2" customFormat="1" ht="30" customHeight="1" thickBot="1">
      <c r="A9" s="440"/>
      <c r="B9" s="39">
        <v>4</v>
      </c>
      <c r="C9" s="43" t="s">
        <v>16</v>
      </c>
      <c r="D9" s="41">
        <v>11</v>
      </c>
      <c r="E9" s="51">
        <v>41.11</v>
      </c>
      <c r="F9" s="78">
        <f>(41.44+41.29+41.3+41.11+41.33+41.34+41.43+41.35+41.21+41.36+41.95+41.37+41.54+41.34+41.33+41.51+41.24+41.48+41.72+41.48+41.48+41.63+41.46+41.38+41.62+41.47+41.72)/27</f>
        <v>41.440000000000005</v>
      </c>
      <c r="G9" s="3">
        <v>153</v>
      </c>
      <c r="H9" s="3">
        <f t="shared" si="0"/>
        <v>28</v>
      </c>
      <c r="I9" s="18">
        <v>7.5648148148148145E-2</v>
      </c>
      <c r="J9" s="18">
        <f t="shared" si="2"/>
        <v>1.4212962962962962E-2</v>
      </c>
      <c r="K9" s="20">
        <f>J9+K7</f>
        <v>4.6631944444444441E-2</v>
      </c>
      <c r="L9" s="334" t="s">
        <v>176</v>
      </c>
      <c r="M9" s="44">
        <f t="shared" si="1"/>
        <v>0.3300000000000054</v>
      </c>
      <c r="N9" s="45"/>
    </row>
    <row r="10" spans="1:15" s="2" customFormat="1" ht="30" customHeight="1" thickBot="1">
      <c r="A10" s="440"/>
      <c r="B10" s="39">
        <v>5</v>
      </c>
      <c r="C10" s="43" t="s">
        <v>14</v>
      </c>
      <c r="D10" s="41">
        <v>15</v>
      </c>
      <c r="E10" s="47">
        <v>41.03</v>
      </c>
      <c r="F10" s="64">
        <f>(41.68+41.28+41.61+42.01+41.26+41.27+41.52+41.27+41.45+41.28+41.37+41.32+41.03+42.45+42.03+41.85+52.33+41.72+41.49+41.64+41.29+42+41.86+41.78+41.55+41.59+41.67+41.48+41.52+41.52+41.25+41.48+41.22+41.31+41.41+41.37+42.09+41.46+41.29+41.25+41.13+41.39+41.27+41.3+41.14+41.22+41.28+41.35+41.4+41.38+41.27+41.28+41.09+42.49+41.66+41.52+41.25+41.62+41.78+41.64+52.53)/61</f>
        <v>41.856393442622952</v>
      </c>
      <c r="G10" s="3">
        <v>214</v>
      </c>
      <c r="H10" s="30">
        <f t="shared" si="0"/>
        <v>61</v>
      </c>
      <c r="I10" s="18">
        <v>0.10576388888888888</v>
      </c>
      <c r="J10" s="18">
        <f t="shared" si="2"/>
        <v>3.0115740740740735E-2</v>
      </c>
      <c r="K10" s="20">
        <f>J10+K8</f>
        <v>5.9131944444444438E-2</v>
      </c>
      <c r="L10" s="334" t="s">
        <v>177</v>
      </c>
      <c r="M10" s="29">
        <f>F10-E10</f>
        <v>0.82639344262295111</v>
      </c>
      <c r="N10" s="45"/>
    </row>
    <row r="11" spans="1:15" s="2" customFormat="1" ht="30" customHeight="1">
      <c r="A11" s="440"/>
      <c r="B11" s="39">
        <v>6</v>
      </c>
      <c r="C11" s="43" t="s">
        <v>16</v>
      </c>
      <c r="D11" s="41">
        <v>11</v>
      </c>
      <c r="E11" s="48">
        <v>41.12</v>
      </c>
      <c r="F11" s="65">
        <f>(41.4+41.2+41.29+41.2+41.14+41.32+41.48+41.21+41.28+41.12+41.25+41.23+41.16+41.22+41.25+41.23+41.24+41.38+41.39+41.26+41.4+41.34+41.4+41.25+41.51+41.38+41.4+41.49+41.58+41.9+41.83+41.39+41.6)/33</f>
        <v>41.355151515151526</v>
      </c>
      <c r="G11" s="3">
        <v>249</v>
      </c>
      <c r="H11" s="3">
        <f t="shared" si="0"/>
        <v>35</v>
      </c>
      <c r="I11" s="18">
        <v>0.12333333333333334</v>
      </c>
      <c r="J11" s="18">
        <f t="shared" si="2"/>
        <v>1.7569444444444457E-2</v>
      </c>
      <c r="K11" s="20">
        <f>J11+K9</f>
        <v>6.4201388888888905E-2</v>
      </c>
      <c r="L11" s="334" t="s">
        <v>178</v>
      </c>
      <c r="M11" s="37">
        <f>F11-E11</f>
        <v>0.23515151515152866</v>
      </c>
      <c r="N11" s="45"/>
    </row>
    <row r="12" spans="1:15" s="2" customFormat="1" ht="30" customHeight="1">
      <c r="A12" s="440"/>
      <c r="B12" s="39">
        <v>7</v>
      </c>
      <c r="C12" s="43" t="s">
        <v>14</v>
      </c>
      <c r="D12" s="41">
        <v>88</v>
      </c>
      <c r="E12" s="49">
        <v>41.07</v>
      </c>
      <c r="F12" s="65">
        <f>(41.48+41.2+41.11+41.23+41.09+41.31+41.07+41.15+41.42+41.72+41.81+42.36+41.24+41.28+41.89+43.03+42.57+41.34+41.35+41.28+41.22+41.36+41.18+41.18+41.33+41.57+41.35+41.35+41.44+41.65+41.59+41.41+41.5+41.5+41.64)/35</f>
        <v>41.491428571428564</v>
      </c>
      <c r="G12" s="3">
        <v>286</v>
      </c>
      <c r="H12" s="3">
        <f t="shared" si="0"/>
        <v>37</v>
      </c>
      <c r="I12" s="18">
        <v>0.1431712962962963</v>
      </c>
      <c r="J12" s="18">
        <f t="shared" si="2"/>
        <v>1.983796296296296E-2</v>
      </c>
      <c r="K12" s="25">
        <f>J12+K10</f>
        <v>7.8969907407407391E-2</v>
      </c>
      <c r="L12" s="334" t="s">
        <v>179</v>
      </c>
      <c r="M12" s="44">
        <f t="shared" si="1"/>
        <v>0.42142857142856371</v>
      </c>
      <c r="N12" s="50">
        <f>AVERAGE(M8,M10,M12)</f>
        <v>0.52375676330452592</v>
      </c>
      <c r="O12" s="2" t="s">
        <v>63</v>
      </c>
    </row>
    <row r="13" spans="1:15" s="2" customFormat="1" ht="30" customHeight="1" thickBot="1">
      <c r="A13" s="440"/>
      <c r="B13" s="72" t="s">
        <v>52</v>
      </c>
      <c r="C13" s="52" t="s">
        <v>16</v>
      </c>
      <c r="D13" s="52">
        <v>11</v>
      </c>
      <c r="E13" s="73">
        <v>41.19</v>
      </c>
      <c r="F13" s="74">
        <f>(41.57+41.41+41.33+41.3+41.2+41.19+41.28+41.26+41.28+41.29+41.31+41.21+41.28+41.93+42.87+41.36+41.46+41.33+41.53+41.28+41.39+41.43+41.28+41.45+41.65+41.39+41.41+43.06+41.74+41.56+41.31+41.3+41.33+41.19+41.5+41.48+41.25+41.31+41.37+41.37+41.89+41.29+41.56+41.64+41.6+42.11+41.9)/47</f>
        <v>41.498510638297866</v>
      </c>
      <c r="G13" s="53">
        <v>334</v>
      </c>
      <c r="H13" s="53">
        <f t="shared" si="0"/>
        <v>48</v>
      </c>
      <c r="I13" s="54">
        <v>0.16703703703703701</v>
      </c>
      <c r="J13" s="54">
        <f t="shared" si="2"/>
        <v>2.3865740740740715E-2</v>
      </c>
      <c r="K13" s="75">
        <f>J13+K11</f>
        <v>8.806712962962962E-2</v>
      </c>
      <c r="L13" s="335" t="s">
        <v>180</v>
      </c>
      <c r="M13" s="55">
        <f t="shared" si="1"/>
        <v>0.30851063829786796</v>
      </c>
      <c r="N13" s="56">
        <f>AVERAGE(M6,M7,M9,M11,M13)</f>
        <v>0.33757788523533633</v>
      </c>
      <c r="O13" s="2" t="s">
        <v>16</v>
      </c>
    </row>
    <row r="14" spans="1:15" ht="16.5" thickBot="1">
      <c r="A14" s="441"/>
      <c r="B14" s="442"/>
      <c r="C14" s="443"/>
      <c r="D14" s="444"/>
      <c r="E14" s="57">
        <f>AVERAGE(E6:E13)</f>
        <v>41.058750000000003</v>
      </c>
      <c r="F14" s="58">
        <f>(F6*(H6-3)+F7*H7+F8*H8+F9*H9+F10*H10+F11*H11+F12*H12+F13*H13)/(G13-3)</f>
        <v>41.496111318308301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6:A14"/>
    <mergeCell ref="B14:D14"/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L4:L5"/>
    <mergeCell ref="I4:I5"/>
    <mergeCell ref="J4:K4"/>
    <mergeCell ref="M4:N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L4" sqref="L4:L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24" t="s">
        <v>73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</row>
    <row r="4" spans="1:15" s="1" customFormat="1" ht="25.5" customHeight="1">
      <c r="A4" s="425" t="s">
        <v>74</v>
      </c>
      <c r="B4" s="427" t="s">
        <v>75</v>
      </c>
      <c r="C4" s="429" t="s">
        <v>2</v>
      </c>
      <c r="D4" s="431" t="s">
        <v>76</v>
      </c>
      <c r="E4" s="433" t="s">
        <v>77</v>
      </c>
      <c r="F4" s="433" t="s">
        <v>84</v>
      </c>
      <c r="G4" s="429" t="s">
        <v>78</v>
      </c>
      <c r="H4" s="429" t="s">
        <v>51</v>
      </c>
      <c r="I4" s="429" t="s">
        <v>79</v>
      </c>
      <c r="J4" s="436" t="s">
        <v>80</v>
      </c>
      <c r="K4" s="437"/>
      <c r="L4" s="429" t="s">
        <v>181</v>
      </c>
      <c r="M4" s="436" t="s">
        <v>81</v>
      </c>
      <c r="N4" s="438"/>
    </row>
    <row r="5" spans="1:15" s="1" customFormat="1" ht="22.5" customHeight="1" thickBot="1">
      <c r="A5" s="426"/>
      <c r="B5" s="428"/>
      <c r="C5" s="430"/>
      <c r="D5" s="432"/>
      <c r="E5" s="434"/>
      <c r="F5" s="434"/>
      <c r="G5" s="430"/>
      <c r="H5" s="430"/>
      <c r="I5" s="430"/>
      <c r="J5" s="31" t="s">
        <v>1</v>
      </c>
      <c r="K5" s="31" t="s">
        <v>0</v>
      </c>
      <c r="L5" s="435"/>
      <c r="M5" s="32" t="s">
        <v>82</v>
      </c>
      <c r="N5" s="33" t="s">
        <v>83</v>
      </c>
    </row>
    <row r="6" spans="1:15" s="2" customFormat="1" ht="30" customHeight="1" thickBot="1">
      <c r="A6" s="439" t="s">
        <v>43</v>
      </c>
      <c r="B6" s="34">
        <v>1</v>
      </c>
      <c r="C6" s="35" t="s">
        <v>115</v>
      </c>
      <c r="D6" s="36">
        <v>14</v>
      </c>
      <c r="E6" s="87">
        <v>41.19</v>
      </c>
      <c r="F6" s="85">
        <f>(41.55+41.58+42.41+41.72+41.22+41.58+41.36+41.21+41.32+41.19+41.83+41.57+41.47+41.66+41.59+41.39+41.54+41.38+41.63+41.48+41.3+41.43+41.48+41.32+41.57+41.41+41.37+41.25+41.57+41.5+41.38+41.63+44.29+42.15+41.41+41.43+41.52+41.33+41.51+41.64)/40</f>
        <v>41.579250000000009</v>
      </c>
      <c r="G6" s="77">
        <v>43</v>
      </c>
      <c r="H6" s="5">
        <f>G6</f>
        <v>43</v>
      </c>
      <c r="I6" s="19">
        <v>2.0763888888888887E-2</v>
      </c>
      <c r="J6" s="19">
        <f>I6</f>
        <v>2.0763888888888887E-2</v>
      </c>
      <c r="K6" s="70">
        <f>J6</f>
        <v>2.0763888888888887E-2</v>
      </c>
      <c r="L6" s="18" t="s">
        <v>182</v>
      </c>
      <c r="M6" s="71">
        <f>F6-E6</f>
        <v>0.3892500000000112</v>
      </c>
      <c r="N6" s="38"/>
    </row>
    <row r="7" spans="1:15" s="2" customFormat="1" ht="30" customHeight="1">
      <c r="A7" s="440"/>
      <c r="B7" s="39">
        <v>2</v>
      </c>
      <c r="C7" s="40" t="s">
        <v>44</v>
      </c>
      <c r="D7" s="41">
        <v>2</v>
      </c>
      <c r="E7" s="86">
        <v>41.03</v>
      </c>
      <c r="F7" s="78">
        <f>(41.68+41.43+41.27+41.33+41.03+41.18+41.51+41.41+41.43+41.61+41.31+41.34+41.27+41.19+41.3+41.37+41.03+41.38+44.68+42.52+41.48+41.41+41.45+41.48+41.4+41.36+41.14+41.24+41.8+41.34+41.27+41.23+41.48+41.32+41.05+41.11+41.33+41.36+41.2)/39</f>
        <v>41.454358974358961</v>
      </c>
      <c r="G7" s="3">
        <v>83</v>
      </c>
      <c r="H7" s="3">
        <f>G7-G6</f>
        <v>40</v>
      </c>
      <c r="I7" s="18">
        <v>4.0752314814814811E-2</v>
      </c>
      <c r="J7" s="18">
        <f>I7-I6</f>
        <v>1.9988425925925923E-2</v>
      </c>
      <c r="K7" s="20">
        <f>J7</f>
        <v>1.9988425925925923E-2</v>
      </c>
      <c r="L7" s="334" t="s">
        <v>183</v>
      </c>
      <c r="M7" s="44">
        <f t="shared" ref="M7:M13" si="0">F7-E7</f>
        <v>0.42435897435895953</v>
      </c>
      <c r="N7" s="45"/>
    </row>
    <row r="8" spans="1:15" s="2" customFormat="1" ht="30" customHeight="1">
      <c r="A8" s="440"/>
      <c r="B8" s="39">
        <v>3</v>
      </c>
      <c r="C8" s="43" t="s">
        <v>115</v>
      </c>
      <c r="D8" s="41">
        <v>9</v>
      </c>
      <c r="E8" s="80">
        <v>41.6</v>
      </c>
      <c r="F8" s="65">
        <f>(41.94+42.2+41.6+41.8+41.96+41.7+41.63+41.8+41.84+41.97+41.67+41.85+41.97+42.38+41.79+42.09+42.23+42.02+42.04+40.09)/20</f>
        <v>41.828500000000005</v>
      </c>
      <c r="G8" s="3">
        <v>104</v>
      </c>
      <c r="H8" s="3">
        <f t="shared" ref="H8:H13" si="1">G8-G7</f>
        <v>21</v>
      </c>
      <c r="I8" s="18">
        <v>5.1701388888888887E-2</v>
      </c>
      <c r="J8" s="18">
        <f t="shared" ref="J8:J13" si="2">I8-I7</f>
        <v>1.0949074074074076E-2</v>
      </c>
      <c r="K8" s="20">
        <f>J8+K6</f>
        <v>3.1712962962962964E-2</v>
      </c>
      <c r="L8" s="334" t="s">
        <v>184</v>
      </c>
      <c r="M8" s="37">
        <f t="shared" si="0"/>
        <v>0.22850000000000392</v>
      </c>
      <c r="N8" s="45"/>
    </row>
    <row r="9" spans="1:15" s="2" customFormat="1" ht="30" customHeight="1">
      <c r="A9" s="440"/>
      <c r="B9" s="39">
        <v>4</v>
      </c>
      <c r="C9" s="43" t="s">
        <v>115</v>
      </c>
      <c r="D9" s="41">
        <v>5</v>
      </c>
      <c r="E9" s="43">
        <v>41.37</v>
      </c>
      <c r="F9" s="64">
        <f>(42.13+41.87+41.66+41.77+41.85+41.96+41.7+41.81+41.75+41.75+41.74+41.54+41.84+41.97+41.76+41.49+41.71+41.97+41.57+41.66+41.52+41.74+41.72+41.7+41.73+41.66+41.71+41.74+41.77+41.88+42.63+41.52+41.39+41.37+41.92+41.55+41.91+41.67+41.65+42.17)/40</f>
        <v>41.761250000000018</v>
      </c>
      <c r="G9" s="3">
        <v>145</v>
      </c>
      <c r="H9" s="30">
        <f t="shared" si="1"/>
        <v>41</v>
      </c>
      <c r="I9" s="18">
        <v>7.2291666666666657E-2</v>
      </c>
      <c r="J9" s="18">
        <f t="shared" si="2"/>
        <v>2.059027777777777E-2</v>
      </c>
      <c r="K9" s="20">
        <f>J9+K8</f>
        <v>5.2303240740740733E-2</v>
      </c>
      <c r="L9" s="334" t="s">
        <v>185</v>
      </c>
      <c r="M9" s="44">
        <f t="shared" si="0"/>
        <v>0.39125000000002075</v>
      </c>
      <c r="N9" s="45"/>
    </row>
    <row r="10" spans="1:15" s="2" customFormat="1" ht="30" customHeight="1">
      <c r="A10" s="440"/>
      <c r="B10" s="39">
        <v>5</v>
      </c>
      <c r="C10" s="43" t="s">
        <v>44</v>
      </c>
      <c r="D10" s="41">
        <v>88</v>
      </c>
      <c r="E10" s="84">
        <v>40.92</v>
      </c>
      <c r="F10" s="64">
        <f>(41.45+41.11+41.1+41.26+41.35+41.27+41.74+41.41+41.07+41.25+41.17+41.05+41.31+41.22+41.08+41.32+41.54+41.04+41.1+41.15+41.05+41.11+41.19+41.27+41.18+41.44+41.21+41.05+41.18+41.22+43.53+42.39+41.32+41.22+41.08+41.22+41.25+42.2+41.07+41.32+41.1+41.04+41.24+40.96+41.11+40.92+41.13+41.13+41.14+41.42+41.28+41.42+42.38+41.28+41.25)/55</f>
        <v>41.314363636363652</v>
      </c>
      <c r="G10" s="3">
        <v>201</v>
      </c>
      <c r="H10" s="3">
        <f t="shared" si="1"/>
        <v>56</v>
      </c>
      <c r="I10" s="18">
        <v>9.9814814814814815E-2</v>
      </c>
      <c r="J10" s="18">
        <f t="shared" si="2"/>
        <v>2.7523148148148158E-2</v>
      </c>
      <c r="K10" s="20">
        <f>J10+K7</f>
        <v>4.7511574074074081E-2</v>
      </c>
      <c r="L10" s="334" t="s">
        <v>186</v>
      </c>
      <c r="M10" s="29">
        <f>F10-E10</f>
        <v>0.39436363636365002</v>
      </c>
      <c r="N10" s="45"/>
    </row>
    <row r="11" spans="1:15" s="2" customFormat="1" ht="30" customHeight="1" thickBot="1">
      <c r="A11" s="440"/>
      <c r="B11" s="39">
        <v>6</v>
      </c>
      <c r="C11" s="43" t="s">
        <v>115</v>
      </c>
      <c r="D11" s="41">
        <v>7</v>
      </c>
      <c r="E11" s="48">
        <v>41.38</v>
      </c>
      <c r="F11" s="83">
        <f>(42.21+41.84+42.05+41.95+41.72+41.69+41.54+41.71+41.65+41.68+41.44+41.82+41.62+41.84+41.65+41.63+41.63+41.55+41.6+41.58+41.62+41.64+41.38+41.91+41.59+41.47+41.69+41.71+41.92+41.63+42.51+41.87+41.97+41.88+42.07+42.01+42.02+41.91+43.39+43.78+41.98+42+42.72+41.82+41.61+41.77)/46</f>
        <v>41.8754347826087</v>
      </c>
      <c r="G11" s="3">
        <v>248</v>
      </c>
      <c r="H11" s="3">
        <f t="shared" si="1"/>
        <v>47</v>
      </c>
      <c r="I11" s="18">
        <v>0.1233449074074074</v>
      </c>
      <c r="J11" s="18">
        <f t="shared" si="2"/>
        <v>2.3530092592592589E-2</v>
      </c>
      <c r="K11" s="25">
        <f>J11+K9</f>
        <v>7.5833333333333322E-2</v>
      </c>
      <c r="L11" s="334" t="s">
        <v>187</v>
      </c>
      <c r="M11" s="44">
        <f>F11-E11</f>
        <v>0.49543478260869733</v>
      </c>
      <c r="N11" s="45"/>
    </row>
    <row r="12" spans="1:15" s="2" customFormat="1" ht="30" customHeight="1" thickBot="1">
      <c r="A12" s="440"/>
      <c r="B12" s="39">
        <v>7</v>
      </c>
      <c r="C12" s="43" t="s">
        <v>44</v>
      </c>
      <c r="D12" s="41">
        <v>15</v>
      </c>
      <c r="E12" s="46">
        <v>40.770000000000003</v>
      </c>
      <c r="F12" s="85">
        <f>(41.57+41.39+41.2+41.15+41.14+41.12+41.01+41.21+41.5+41.11+41.05+41.63+41.08+41.07+41.16+41.15+41.12+41.18+41.14+40.99+40.92+40.85+40.88+41.1+41.17+40.78+40.98+40.89+41.82+40.85+40.89+41.15+40.94+40.96+41.2+40.96+41.21+41.17+40.91+41.09+40.8+41.01+41.11+40.9+40.92+40.96+41.33+40.77+40.91+41.08+41.07+41.53+42.38+41.02+41.1+41.09)/56</f>
        <v>41.11910714285716</v>
      </c>
      <c r="G12" s="81">
        <v>306</v>
      </c>
      <c r="H12" s="30">
        <f t="shared" si="1"/>
        <v>58</v>
      </c>
      <c r="I12" s="18">
        <v>0.15312499999999998</v>
      </c>
      <c r="J12" s="18">
        <f t="shared" si="2"/>
        <v>2.978009259259258E-2</v>
      </c>
      <c r="K12" s="20">
        <f>J12+K10</f>
        <v>7.7291666666666661E-2</v>
      </c>
      <c r="L12" s="334" t="s">
        <v>188</v>
      </c>
      <c r="M12" s="44">
        <f t="shared" si="0"/>
        <v>0.34910714285715727</v>
      </c>
      <c r="N12" s="50">
        <f>AVERAGE(M6,M8,M9,M11)</f>
        <v>0.3761086956521833</v>
      </c>
      <c r="O12" s="2" t="s">
        <v>45</v>
      </c>
    </row>
    <row r="13" spans="1:15" s="2" customFormat="1" ht="30" customHeight="1" thickBot="1">
      <c r="A13" s="440"/>
      <c r="B13" s="72" t="s">
        <v>52</v>
      </c>
      <c r="C13" s="52" t="s">
        <v>44</v>
      </c>
      <c r="D13" s="52">
        <v>2</v>
      </c>
      <c r="E13" s="73">
        <v>40.93</v>
      </c>
      <c r="F13" s="88">
        <f>(41.29+41.15+41.18+41.34+41.12+41.17+40.99+41.13+40.95+41.21+41.06+41.02+41.59+40.93+41.22+41.02+41.04+41.32+41.36+41.74+41.44+41.44+41.19+41.42+41.37+41.26+41.27)/27</f>
        <v>41.230370370370373</v>
      </c>
      <c r="G13" s="53">
        <v>334</v>
      </c>
      <c r="H13" s="53">
        <f t="shared" si="1"/>
        <v>28</v>
      </c>
      <c r="I13" s="54">
        <v>0.16723379629629631</v>
      </c>
      <c r="J13" s="54">
        <f t="shared" si="2"/>
        <v>1.4108796296296328E-2</v>
      </c>
      <c r="K13" s="75">
        <f>J13+K12</f>
        <v>9.1400462962962989E-2</v>
      </c>
      <c r="L13" s="335" t="s">
        <v>189</v>
      </c>
      <c r="M13" s="76">
        <f t="shared" si="0"/>
        <v>0.30037037037037351</v>
      </c>
      <c r="N13" s="56">
        <f>AVERAGE(M7,M10,M12,M13)</f>
        <v>0.36705003098753508</v>
      </c>
      <c r="O13" s="2" t="s">
        <v>62</v>
      </c>
    </row>
    <row r="14" spans="1:15" ht="16.5" thickBot="1">
      <c r="A14" s="441"/>
      <c r="B14" s="445"/>
      <c r="C14" s="446"/>
      <c r="D14" s="447"/>
      <c r="E14" s="67">
        <f>AVERAGE(E6:E13)</f>
        <v>41.14875</v>
      </c>
      <c r="F14" s="58">
        <f>(F6*(H6-3)+F7*H7+F8*H8+F9*H9+F10*H10+F11*H11+F12*H12+F13*H13)/(G13-3)</f>
        <v>41.489614779605496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6:A14"/>
    <mergeCell ref="B14:D14"/>
    <mergeCell ref="L4:L5"/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Q13" sqref="Q13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24" t="s">
        <v>73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</row>
    <row r="4" spans="1:15" s="1" customFormat="1" ht="25.5" customHeight="1">
      <c r="A4" s="425" t="s">
        <v>74</v>
      </c>
      <c r="B4" s="427" t="s">
        <v>75</v>
      </c>
      <c r="C4" s="429" t="s">
        <v>2</v>
      </c>
      <c r="D4" s="431" t="s">
        <v>76</v>
      </c>
      <c r="E4" s="433" t="s">
        <v>77</v>
      </c>
      <c r="F4" s="433" t="s">
        <v>84</v>
      </c>
      <c r="G4" s="429" t="s">
        <v>78</v>
      </c>
      <c r="H4" s="429" t="s">
        <v>51</v>
      </c>
      <c r="I4" s="429" t="s">
        <v>79</v>
      </c>
      <c r="J4" s="436" t="s">
        <v>80</v>
      </c>
      <c r="K4" s="437"/>
      <c r="L4" s="429" t="s">
        <v>181</v>
      </c>
      <c r="M4" s="436" t="s">
        <v>81</v>
      </c>
      <c r="N4" s="438"/>
    </row>
    <row r="5" spans="1:15" s="1" customFormat="1" ht="22.5" customHeight="1" thickBot="1">
      <c r="A5" s="426"/>
      <c r="B5" s="428"/>
      <c r="C5" s="430"/>
      <c r="D5" s="432"/>
      <c r="E5" s="434"/>
      <c r="F5" s="434"/>
      <c r="G5" s="430"/>
      <c r="H5" s="430"/>
      <c r="I5" s="430"/>
      <c r="J5" s="31" t="s">
        <v>1</v>
      </c>
      <c r="K5" s="31" t="s">
        <v>0</v>
      </c>
      <c r="L5" s="435"/>
      <c r="M5" s="32" t="s">
        <v>82</v>
      </c>
      <c r="N5" s="33" t="s">
        <v>83</v>
      </c>
    </row>
    <row r="6" spans="1:15" s="2" customFormat="1" ht="30" customHeight="1" thickBot="1">
      <c r="A6" s="439" t="s">
        <v>50</v>
      </c>
      <c r="B6" s="34">
        <v>1</v>
      </c>
      <c r="C6" s="35" t="s">
        <v>48</v>
      </c>
      <c r="D6" s="36">
        <v>9</v>
      </c>
      <c r="E6" s="36">
        <v>41.11</v>
      </c>
      <c r="F6" s="89">
        <v>41.457249999999995</v>
      </c>
      <c r="G6" s="77">
        <v>43</v>
      </c>
      <c r="H6" s="5">
        <f>G6</f>
        <v>43</v>
      </c>
      <c r="I6" s="19">
        <v>2.0775462962962964E-2</v>
      </c>
      <c r="J6" s="19">
        <f>I6</f>
        <v>2.0775462962962964E-2</v>
      </c>
      <c r="K6" s="70">
        <f>J6</f>
        <v>2.0775462962962964E-2</v>
      </c>
      <c r="L6" s="18" t="s">
        <v>190</v>
      </c>
      <c r="M6" s="71">
        <f>F6-E6</f>
        <v>0.3472499999999954</v>
      </c>
      <c r="N6" s="38"/>
    </row>
    <row r="7" spans="1:15" s="2" customFormat="1" ht="30" customHeight="1" thickBot="1">
      <c r="A7" s="440"/>
      <c r="B7" s="39">
        <v>2</v>
      </c>
      <c r="C7" s="40" t="s">
        <v>48</v>
      </c>
      <c r="D7" s="41">
        <v>88</v>
      </c>
      <c r="E7" s="46">
        <v>40.98</v>
      </c>
      <c r="F7" s="85">
        <v>41.228695652173904</v>
      </c>
      <c r="G7" s="3">
        <v>90</v>
      </c>
      <c r="H7" s="30">
        <f>G7-G6</f>
        <v>47</v>
      </c>
      <c r="I7" s="18">
        <v>4.4270833333333336E-2</v>
      </c>
      <c r="J7" s="18">
        <f>I7-I6</f>
        <v>2.3495370370370371E-2</v>
      </c>
      <c r="K7" s="20">
        <f>J7+K6</f>
        <v>4.4270833333333336E-2</v>
      </c>
      <c r="L7" s="334" t="s">
        <v>191</v>
      </c>
      <c r="M7" s="37">
        <f t="shared" ref="M7:M13" si="0">F7-E7</f>
        <v>0.24869565217390743</v>
      </c>
      <c r="N7" s="45"/>
    </row>
    <row r="8" spans="1:15" s="2" customFormat="1" ht="30" customHeight="1">
      <c r="A8" s="440"/>
      <c r="B8" s="39">
        <v>3</v>
      </c>
      <c r="C8" s="43" t="s">
        <v>47</v>
      </c>
      <c r="D8" s="41">
        <v>7</v>
      </c>
      <c r="E8" s="80">
        <v>41.22</v>
      </c>
      <c r="F8" s="65">
        <v>41.579354838709669</v>
      </c>
      <c r="G8" s="3">
        <v>153</v>
      </c>
      <c r="H8" s="3">
        <f t="shared" ref="H8:H13" si="1">G8-G7</f>
        <v>63</v>
      </c>
      <c r="I8" s="18">
        <v>7.5335648148148152E-2</v>
      </c>
      <c r="J8" s="18">
        <f t="shared" ref="J8:J13" si="2">I8-I7</f>
        <v>3.1064814814814816E-2</v>
      </c>
      <c r="K8" s="20">
        <f>J8</f>
        <v>3.1064814814814816E-2</v>
      </c>
      <c r="L8" s="334" t="s">
        <v>192</v>
      </c>
      <c r="M8" s="44">
        <f t="shared" si="0"/>
        <v>0.35935483870967033</v>
      </c>
      <c r="N8" s="45"/>
    </row>
    <row r="9" spans="1:15" s="2" customFormat="1" ht="30" customHeight="1">
      <c r="A9" s="440"/>
      <c r="B9" s="39">
        <v>4</v>
      </c>
      <c r="C9" s="43" t="s">
        <v>48</v>
      </c>
      <c r="D9" s="41">
        <v>10</v>
      </c>
      <c r="E9" s="43">
        <v>41.26</v>
      </c>
      <c r="F9" s="64">
        <v>41.542000000000002</v>
      </c>
      <c r="G9" s="3">
        <v>194</v>
      </c>
      <c r="H9" s="3">
        <f t="shared" si="1"/>
        <v>41</v>
      </c>
      <c r="I9" s="18">
        <v>9.5833333333333326E-2</v>
      </c>
      <c r="J9" s="18">
        <f t="shared" si="2"/>
        <v>2.0497685185185174E-2</v>
      </c>
      <c r="K9" s="20">
        <f>J9+K7</f>
        <v>6.4768518518518503E-2</v>
      </c>
      <c r="L9" s="334" t="s">
        <v>193</v>
      </c>
      <c r="M9" s="44">
        <f t="shared" si="0"/>
        <v>0.28200000000000358</v>
      </c>
      <c r="N9" s="45"/>
    </row>
    <row r="10" spans="1:15" s="2" customFormat="1" ht="30" customHeight="1">
      <c r="A10" s="440"/>
      <c r="B10" s="39">
        <v>5</v>
      </c>
      <c r="C10" s="43" t="s">
        <v>47</v>
      </c>
      <c r="D10" s="41">
        <v>6</v>
      </c>
      <c r="E10" s="84">
        <v>41.24</v>
      </c>
      <c r="F10" s="64">
        <v>41.548070175438582</v>
      </c>
      <c r="G10" s="3">
        <v>252</v>
      </c>
      <c r="H10" s="3">
        <f t="shared" si="1"/>
        <v>58</v>
      </c>
      <c r="I10" s="18">
        <v>0.12445601851851852</v>
      </c>
      <c r="J10" s="18">
        <f t="shared" si="2"/>
        <v>2.8622685185185195E-2</v>
      </c>
      <c r="K10" s="20">
        <f>J10+K8</f>
        <v>5.9687500000000011E-2</v>
      </c>
      <c r="L10" s="334" t="s">
        <v>194</v>
      </c>
      <c r="M10" s="29">
        <f>F10-E10</f>
        <v>0.30807017543857995</v>
      </c>
      <c r="N10" s="45"/>
    </row>
    <row r="11" spans="1:15" s="2" customFormat="1" ht="30" customHeight="1" thickBot="1">
      <c r="A11" s="440"/>
      <c r="B11" s="39">
        <v>6</v>
      </c>
      <c r="C11" s="43" t="s">
        <v>48</v>
      </c>
      <c r="D11" s="41">
        <v>14</v>
      </c>
      <c r="E11" s="49">
        <v>41.1</v>
      </c>
      <c r="F11" s="83">
        <v>41.523939393939393</v>
      </c>
      <c r="G11" s="3">
        <v>287</v>
      </c>
      <c r="H11" s="3">
        <f t="shared" si="1"/>
        <v>35</v>
      </c>
      <c r="I11" s="18">
        <v>0.14347222222222222</v>
      </c>
      <c r="J11" s="18">
        <f t="shared" si="2"/>
        <v>1.9016203703703702E-2</v>
      </c>
      <c r="K11" s="25">
        <f>J11+K9</f>
        <v>8.3784722222222205E-2</v>
      </c>
      <c r="L11" s="334" t="s">
        <v>195</v>
      </c>
      <c r="M11" s="44">
        <f>F11-E11</f>
        <v>0.42393939393939206</v>
      </c>
      <c r="N11" s="45"/>
    </row>
    <row r="12" spans="1:15" s="2" customFormat="1" ht="30" customHeight="1" thickBot="1">
      <c r="A12" s="440"/>
      <c r="B12" s="39">
        <v>7</v>
      </c>
      <c r="C12" s="43" t="s">
        <v>47</v>
      </c>
      <c r="D12" s="41">
        <v>7</v>
      </c>
      <c r="E12" s="87">
        <v>41.08</v>
      </c>
      <c r="F12" s="85">
        <v>41.371363636363633</v>
      </c>
      <c r="G12" s="3">
        <v>310</v>
      </c>
      <c r="H12" s="30">
        <f t="shared" si="1"/>
        <v>23</v>
      </c>
      <c r="I12" s="18">
        <v>0.15523148148148147</v>
      </c>
      <c r="J12" s="18">
        <f t="shared" si="2"/>
        <v>1.1759259259259247E-2</v>
      </c>
      <c r="K12" s="20">
        <f>J12+K10</f>
        <v>7.1446759259259252E-2</v>
      </c>
      <c r="L12" s="334" t="s">
        <v>196</v>
      </c>
      <c r="M12" s="44">
        <f t="shared" si="0"/>
        <v>0.29136363636363427</v>
      </c>
      <c r="N12" s="50">
        <f>AVERAGE(M6,M7,M9,M11)</f>
        <v>0.32547126152832462</v>
      </c>
      <c r="O12" s="2" t="s">
        <v>71</v>
      </c>
    </row>
    <row r="13" spans="1:15" s="2" customFormat="1" ht="30" customHeight="1" thickBot="1">
      <c r="A13" s="440"/>
      <c r="B13" s="72" t="s">
        <v>52</v>
      </c>
      <c r="C13" s="52" t="s">
        <v>47</v>
      </c>
      <c r="D13" s="52">
        <v>3</v>
      </c>
      <c r="E13" s="73">
        <v>41.36</v>
      </c>
      <c r="F13" s="88">
        <v>41.64</v>
      </c>
      <c r="G13" s="53">
        <v>334</v>
      </c>
      <c r="H13" s="53">
        <f t="shared" si="1"/>
        <v>24</v>
      </c>
      <c r="I13" s="54">
        <v>0.16749999999999998</v>
      </c>
      <c r="J13" s="54">
        <f t="shared" si="2"/>
        <v>1.2268518518518512E-2</v>
      </c>
      <c r="K13" s="75">
        <f>J13+K12</f>
        <v>8.3715277777777763E-2</v>
      </c>
      <c r="L13" s="335" t="s">
        <v>197</v>
      </c>
      <c r="M13" s="76">
        <f t="shared" si="0"/>
        <v>0.28000000000000114</v>
      </c>
      <c r="N13" s="56">
        <f>AVERAGE(M8,M10,M12,M13)</f>
        <v>0.30969716262797142</v>
      </c>
      <c r="O13" s="2" t="s">
        <v>72</v>
      </c>
    </row>
    <row r="14" spans="1:15" ht="16.5" thickBot="1">
      <c r="A14" s="441"/>
      <c r="B14" s="445"/>
      <c r="C14" s="446"/>
      <c r="D14" s="447"/>
      <c r="E14" s="67">
        <f>AVERAGE(E6:E13)</f>
        <v>41.168750000000003</v>
      </c>
      <c r="F14" s="58">
        <f>(F6*(H6-3)+F7*H7+F8*H8+F9*H9+F10*H10+F11*H11+F12*H12+F13*H13)/(G13-3)</f>
        <v>41.48878357429173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6:A14"/>
    <mergeCell ref="B14:D14"/>
    <mergeCell ref="L4:L5"/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K20" sqref="K20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24" t="s">
        <v>73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</row>
    <row r="4" spans="1:15" s="1" customFormat="1" ht="25.5" customHeight="1">
      <c r="A4" s="425" t="s">
        <v>74</v>
      </c>
      <c r="B4" s="427" t="s">
        <v>75</v>
      </c>
      <c r="C4" s="429" t="s">
        <v>2</v>
      </c>
      <c r="D4" s="431" t="s">
        <v>76</v>
      </c>
      <c r="E4" s="433" t="s">
        <v>77</v>
      </c>
      <c r="F4" s="433" t="s">
        <v>84</v>
      </c>
      <c r="G4" s="429" t="s">
        <v>78</v>
      </c>
      <c r="H4" s="429" t="s">
        <v>51</v>
      </c>
      <c r="I4" s="429" t="s">
        <v>79</v>
      </c>
      <c r="J4" s="436" t="s">
        <v>80</v>
      </c>
      <c r="K4" s="437"/>
      <c r="L4" s="429" t="s">
        <v>181</v>
      </c>
      <c r="M4" s="436" t="s">
        <v>81</v>
      </c>
      <c r="N4" s="438"/>
    </row>
    <row r="5" spans="1:15" s="1" customFormat="1" ht="22.5" customHeight="1" thickBot="1">
      <c r="A5" s="426"/>
      <c r="B5" s="428"/>
      <c r="C5" s="430"/>
      <c r="D5" s="432"/>
      <c r="E5" s="434"/>
      <c r="F5" s="434"/>
      <c r="G5" s="430"/>
      <c r="H5" s="430"/>
      <c r="I5" s="430"/>
      <c r="J5" s="31" t="s">
        <v>1</v>
      </c>
      <c r="K5" s="31" t="s">
        <v>0</v>
      </c>
      <c r="L5" s="435"/>
      <c r="M5" s="32" t="s">
        <v>82</v>
      </c>
      <c r="N5" s="33" t="s">
        <v>83</v>
      </c>
    </row>
    <row r="6" spans="1:15" s="2" customFormat="1" ht="30" customHeight="1">
      <c r="A6" s="439" t="s">
        <v>86</v>
      </c>
      <c r="B6" s="34">
        <v>1</v>
      </c>
      <c r="C6" s="35" t="s">
        <v>32</v>
      </c>
      <c r="D6" s="36">
        <v>4</v>
      </c>
      <c r="E6" s="90">
        <v>41.2</v>
      </c>
      <c r="F6" s="89">
        <v>41.623749999999987</v>
      </c>
      <c r="G6" s="77">
        <v>43</v>
      </c>
      <c r="H6" s="5">
        <v>43</v>
      </c>
      <c r="I6" s="91">
        <v>2.0914351851851851E-2</v>
      </c>
      <c r="J6" s="19">
        <f>I6</f>
        <v>2.0914351851851851E-2</v>
      </c>
      <c r="K6" s="70">
        <f>J6</f>
        <v>2.0914351851851851E-2</v>
      </c>
      <c r="L6" s="18" t="s">
        <v>198</v>
      </c>
      <c r="M6" s="71">
        <f>F6-E6</f>
        <v>0.42374999999998408</v>
      </c>
      <c r="N6" s="38"/>
    </row>
    <row r="7" spans="1:15" s="2" customFormat="1" ht="30" customHeight="1" thickBot="1">
      <c r="A7" s="440"/>
      <c r="B7" s="39">
        <v>2</v>
      </c>
      <c r="C7" s="40" t="s">
        <v>31</v>
      </c>
      <c r="D7" s="41">
        <v>11</v>
      </c>
      <c r="E7" s="84">
        <v>41.28</v>
      </c>
      <c r="F7" s="64">
        <v>41.611904761904768</v>
      </c>
      <c r="G7" s="3">
        <v>65</v>
      </c>
      <c r="H7" s="30">
        <v>22</v>
      </c>
      <c r="I7" s="18">
        <v>3.2777777777777781E-2</v>
      </c>
      <c r="J7" s="18">
        <f>I7-I6</f>
        <v>1.186342592592593E-2</v>
      </c>
      <c r="K7" s="20">
        <f>J7</f>
        <v>1.186342592592593E-2</v>
      </c>
      <c r="L7" s="334" t="s">
        <v>199</v>
      </c>
      <c r="M7" s="44">
        <f t="shared" ref="M7:M13" si="0">F7-E7</f>
        <v>0.33190476190476659</v>
      </c>
      <c r="N7" s="45"/>
    </row>
    <row r="8" spans="1:15" s="2" customFormat="1" ht="30" customHeight="1" thickBot="1">
      <c r="A8" s="440"/>
      <c r="B8" s="39">
        <v>3</v>
      </c>
      <c r="C8" s="43" t="s">
        <v>31</v>
      </c>
      <c r="D8" s="41">
        <v>14</v>
      </c>
      <c r="E8" s="80">
        <v>41.06</v>
      </c>
      <c r="F8" s="85">
        <v>41.389999999999993</v>
      </c>
      <c r="G8" s="3">
        <v>124</v>
      </c>
      <c r="H8" s="3">
        <v>59</v>
      </c>
      <c r="I8" s="18">
        <v>6.1840277777777779E-2</v>
      </c>
      <c r="J8" s="18">
        <f t="shared" ref="J8:J13" si="1">I8-I7</f>
        <v>2.9062499999999998E-2</v>
      </c>
      <c r="K8" s="20">
        <f>J8+K7</f>
        <v>4.0925925925925928E-2</v>
      </c>
      <c r="L8" s="334" t="s">
        <v>200</v>
      </c>
      <c r="M8" s="37">
        <f t="shared" si="0"/>
        <v>0.32999999999999119</v>
      </c>
      <c r="N8" s="45"/>
    </row>
    <row r="9" spans="1:15" s="2" customFormat="1" ht="30" customHeight="1">
      <c r="A9" s="440"/>
      <c r="B9" s="39">
        <v>4</v>
      </c>
      <c r="C9" s="43" t="s">
        <v>32</v>
      </c>
      <c r="D9" s="41">
        <v>2</v>
      </c>
      <c r="E9" s="43">
        <v>41.15</v>
      </c>
      <c r="F9" s="64">
        <v>41.438823529411764</v>
      </c>
      <c r="G9" s="3">
        <v>159</v>
      </c>
      <c r="H9" s="3">
        <v>35</v>
      </c>
      <c r="I9" s="18">
        <v>7.9386574074074082E-2</v>
      </c>
      <c r="J9" s="18">
        <f t="shared" si="1"/>
        <v>1.7546296296296303E-2</v>
      </c>
      <c r="K9" s="20">
        <f>J9+K6</f>
        <v>3.8460648148148154E-2</v>
      </c>
      <c r="L9" s="334" t="s">
        <v>201</v>
      </c>
      <c r="M9" s="44">
        <f t="shared" si="0"/>
        <v>0.28882352941176492</v>
      </c>
      <c r="N9" s="45"/>
    </row>
    <row r="10" spans="1:15" s="2" customFormat="1" ht="30" customHeight="1" thickBot="1">
      <c r="A10" s="440"/>
      <c r="B10" s="39">
        <v>5</v>
      </c>
      <c r="C10" s="43" t="s">
        <v>31</v>
      </c>
      <c r="D10" s="41">
        <v>14</v>
      </c>
      <c r="E10" s="84">
        <v>41.04</v>
      </c>
      <c r="F10" s="64">
        <v>41.491132075471704</v>
      </c>
      <c r="G10" s="3">
        <v>213</v>
      </c>
      <c r="H10" s="3">
        <v>54</v>
      </c>
      <c r="I10" s="18">
        <v>0.10609953703703705</v>
      </c>
      <c r="J10" s="18">
        <f t="shared" si="1"/>
        <v>2.6712962962962966E-2</v>
      </c>
      <c r="K10" s="20">
        <f>J10+K8</f>
        <v>6.7638888888888887E-2</v>
      </c>
      <c r="L10" s="334" t="s">
        <v>202</v>
      </c>
      <c r="M10" s="29">
        <f>F10-E10</f>
        <v>0.45113207547170475</v>
      </c>
      <c r="N10" s="45"/>
    </row>
    <row r="11" spans="1:15" s="2" customFormat="1" ht="30" customHeight="1" thickBot="1">
      <c r="A11" s="440"/>
      <c r="B11" s="39">
        <v>6</v>
      </c>
      <c r="C11" s="43" t="s">
        <v>32</v>
      </c>
      <c r="D11" s="41">
        <v>2</v>
      </c>
      <c r="E11" s="49">
        <v>41.06</v>
      </c>
      <c r="F11" s="85">
        <v>41.325319148936181</v>
      </c>
      <c r="G11" s="3">
        <v>261</v>
      </c>
      <c r="H11" s="3">
        <v>48</v>
      </c>
      <c r="I11" s="18">
        <v>0.12974537037037037</v>
      </c>
      <c r="J11" s="18">
        <f t="shared" si="1"/>
        <v>2.3645833333333324E-2</v>
      </c>
      <c r="K11" s="26">
        <f>J11+K9</f>
        <v>6.2106481481481478E-2</v>
      </c>
      <c r="L11" s="334" t="s">
        <v>203</v>
      </c>
      <c r="M11" s="37">
        <f>F11-E11</f>
        <v>0.26531914893617881</v>
      </c>
      <c r="N11" s="45"/>
    </row>
    <row r="12" spans="1:15" s="2" customFormat="1" ht="30" customHeight="1" thickBot="1">
      <c r="A12" s="440"/>
      <c r="B12" s="39">
        <v>7</v>
      </c>
      <c r="C12" s="43" t="s">
        <v>31</v>
      </c>
      <c r="D12" s="41">
        <v>1</v>
      </c>
      <c r="E12" s="46">
        <v>40.97</v>
      </c>
      <c r="F12" s="64">
        <v>41.447727272727271</v>
      </c>
      <c r="G12" s="3">
        <v>284</v>
      </c>
      <c r="H12" s="30">
        <v>23</v>
      </c>
      <c r="I12" s="18">
        <v>0.14152777777777778</v>
      </c>
      <c r="J12" s="18">
        <f t="shared" si="1"/>
        <v>1.1782407407407408E-2</v>
      </c>
      <c r="K12" s="25">
        <f>J12+K10</f>
        <v>7.9421296296296295E-2</v>
      </c>
      <c r="L12" s="334" t="s">
        <v>204</v>
      </c>
      <c r="M12" s="44">
        <f t="shared" si="0"/>
        <v>0.47772727272727167</v>
      </c>
      <c r="N12" s="50">
        <f>AVERAGE(M7,M8,M10,M12)</f>
        <v>0.39769102752593355</v>
      </c>
      <c r="O12" s="2" t="s">
        <v>65</v>
      </c>
    </row>
    <row r="13" spans="1:15" s="2" customFormat="1" ht="30" customHeight="1" thickBot="1">
      <c r="A13" s="440"/>
      <c r="B13" s="72" t="s">
        <v>52</v>
      </c>
      <c r="C13" s="52" t="s">
        <v>32</v>
      </c>
      <c r="D13" s="52">
        <v>21</v>
      </c>
      <c r="E13" s="87">
        <v>40.99</v>
      </c>
      <c r="F13" s="88">
        <v>41.366170212765965</v>
      </c>
      <c r="G13" s="53">
        <v>333</v>
      </c>
      <c r="H13" s="53">
        <v>49</v>
      </c>
      <c r="I13" s="54">
        <v>0.16711805555555556</v>
      </c>
      <c r="J13" s="54">
        <f t="shared" si="1"/>
        <v>2.5590277777777781E-2</v>
      </c>
      <c r="K13" s="75">
        <f>J13+K11</f>
        <v>8.7696759259259266E-2</v>
      </c>
      <c r="L13" s="335" t="s">
        <v>205</v>
      </c>
      <c r="M13" s="55">
        <f t="shared" si="0"/>
        <v>0.37617021276596319</v>
      </c>
      <c r="N13" s="56">
        <f>AVERAGE(M6,M9,M11,M13)</f>
        <v>0.33851572277847275</v>
      </c>
      <c r="O13" s="2" t="s">
        <v>64</v>
      </c>
    </row>
    <row r="14" spans="1:15" ht="16.5" thickBot="1">
      <c r="A14" s="441"/>
      <c r="B14" s="445"/>
      <c r="C14" s="446"/>
      <c r="D14" s="447"/>
      <c r="E14" s="67">
        <f>AVERAGE(E6:E13)</f>
        <v>41.09375</v>
      </c>
      <c r="F14" s="58">
        <f>(F6*(H6-3)+F7*H7+F8*H8+F9*H9+F10*H10+F11*H11+F12*H12+F13*H13)/(G13-3)</f>
        <v>41.445931052163587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6:A14"/>
    <mergeCell ref="B14:D14"/>
    <mergeCell ref="L4:L5"/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I18" sqref="I18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24" t="s">
        <v>73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</row>
    <row r="4" spans="1:15" s="1" customFormat="1" ht="25.5" customHeight="1">
      <c r="A4" s="425" t="s">
        <v>74</v>
      </c>
      <c r="B4" s="427" t="s">
        <v>75</v>
      </c>
      <c r="C4" s="429" t="s">
        <v>2</v>
      </c>
      <c r="D4" s="431" t="s">
        <v>76</v>
      </c>
      <c r="E4" s="433" t="s">
        <v>77</v>
      </c>
      <c r="F4" s="433" t="s">
        <v>84</v>
      </c>
      <c r="G4" s="429" t="s">
        <v>78</v>
      </c>
      <c r="H4" s="429" t="s">
        <v>51</v>
      </c>
      <c r="I4" s="429" t="s">
        <v>79</v>
      </c>
      <c r="J4" s="436" t="s">
        <v>80</v>
      </c>
      <c r="K4" s="437"/>
      <c r="L4" s="429" t="s">
        <v>181</v>
      </c>
      <c r="M4" s="436" t="s">
        <v>81</v>
      </c>
      <c r="N4" s="438"/>
    </row>
    <row r="5" spans="1:15" s="1" customFormat="1" ht="22.5" customHeight="1" thickBot="1">
      <c r="A5" s="426"/>
      <c r="B5" s="428"/>
      <c r="C5" s="430"/>
      <c r="D5" s="432"/>
      <c r="E5" s="434"/>
      <c r="F5" s="434"/>
      <c r="G5" s="430"/>
      <c r="H5" s="430"/>
      <c r="I5" s="430"/>
      <c r="J5" s="31" t="s">
        <v>1</v>
      </c>
      <c r="K5" s="31" t="s">
        <v>0</v>
      </c>
      <c r="L5" s="435"/>
      <c r="M5" s="32" t="s">
        <v>82</v>
      </c>
      <c r="N5" s="33" t="s">
        <v>83</v>
      </c>
    </row>
    <row r="6" spans="1:15" s="2" customFormat="1" ht="30" customHeight="1">
      <c r="A6" s="439" t="s">
        <v>27</v>
      </c>
      <c r="B6" s="34">
        <v>1</v>
      </c>
      <c r="C6" s="35" t="s">
        <v>33</v>
      </c>
      <c r="D6" s="36">
        <v>1</v>
      </c>
      <c r="E6" s="90">
        <v>41.17</v>
      </c>
      <c r="F6" s="89">
        <v>41.518749999999997</v>
      </c>
      <c r="G6" s="5">
        <v>43</v>
      </c>
      <c r="H6" s="5">
        <f>G6</f>
        <v>43</v>
      </c>
      <c r="I6" s="19">
        <v>2.0821759259259259E-2</v>
      </c>
      <c r="J6" s="19">
        <f>I6</f>
        <v>2.0821759259259259E-2</v>
      </c>
      <c r="K6" s="70">
        <f>J6</f>
        <v>2.0821759259259259E-2</v>
      </c>
      <c r="L6" s="18" t="s">
        <v>206</v>
      </c>
      <c r="M6" s="71">
        <f>F6-E6</f>
        <v>0.34874999999999545</v>
      </c>
      <c r="N6" s="38"/>
    </row>
    <row r="7" spans="1:15" s="2" customFormat="1" ht="30" customHeight="1" thickBot="1">
      <c r="A7" s="440"/>
      <c r="B7" s="39">
        <v>2</v>
      </c>
      <c r="C7" s="40" t="s">
        <v>28</v>
      </c>
      <c r="D7" s="41">
        <v>5</v>
      </c>
      <c r="E7" s="84">
        <v>41.33</v>
      </c>
      <c r="F7" s="64">
        <v>41.55</v>
      </c>
      <c r="G7" s="3">
        <v>64</v>
      </c>
      <c r="H7" s="3">
        <f>G7-G6</f>
        <v>21</v>
      </c>
      <c r="I7" s="18">
        <v>3.2222222222222222E-2</v>
      </c>
      <c r="J7" s="18">
        <f>I7-I6</f>
        <v>1.1400462962962963E-2</v>
      </c>
      <c r="K7" s="20">
        <f>J7</f>
        <v>1.1400462962962963E-2</v>
      </c>
      <c r="L7" s="334" t="s">
        <v>207</v>
      </c>
      <c r="M7" s="37">
        <f t="shared" ref="M7:M13" si="0">F7-E7</f>
        <v>0.21999999999999886</v>
      </c>
      <c r="N7" s="45"/>
    </row>
    <row r="8" spans="1:15" s="2" customFormat="1" ht="30" customHeight="1" thickBot="1">
      <c r="A8" s="440"/>
      <c r="B8" s="39">
        <v>3</v>
      </c>
      <c r="C8" s="43" t="s">
        <v>33</v>
      </c>
      <c r="D8" s="41">
        <v>10</v>
      </c>
      <c r="E8" s="80">
        <v>41.08</v>
      </c>
      <c r="F8" s="85">
        <v>41.368717948717944</v>
      </c>
      <c r="G8" s="3">
        <v>104</v>
      </c>
      <c r="H8" s="3">
        <f t="shared" ref="H8:H13" si="1">G8-G7</f>
        <v>40</v>
      </c>
      <c r="I8" s="18">
        <v>5.212962962962963E-2</v>
      </c>
      <c r="J8" s="18">
        <f t="shared" ref="J8:J13" si="2">I8-I7</f>
        <v>1.9907407407407408E-2</v>
      </c>
      <c r="K8" s="20">
        <f t="shared" ref="K8:K13" si="3">J8+K6</f>
        <v>4.0729166666666664E-2</v>
      </c>
      <c r="L8" s="334" t="s">
        <v>174</v>
      </c>
      <c r="M8" s="37">
        <f t="shared" si="0"/>
        <v>0.28871794871794521</v>
      </c>
      <c r="N8" s="45"/>
    </row>
    <row r="9" spans="1:15" s="2" customFormat="1" ht="30" customHeight="1">
      <c r="A9" s="440"/>
      <c r="B9" s="39">
        <v>4</v>
      </c>
      <c r="C9" s="43" t="s">
        <v>28</v>
      </c>
      <c r="D9" s="41">
        <v>6</v>
      </c>
      <c r="E9" s="43">
        <v>41.28</v>
      </c>
      <c r="F9" s="64">
        <v>41.609749999999998</v>
      </c>
      <c r="G9" s="3">
        <v>145</v>
      </c>
      <c r="H9" s="3">
        <f t="shared" si="1"/>
        <v>41</v>
      </c>
      <c r="I9" s="18">
        <v>7.2615740740740745E-2</v>
      </c>
      <c r="J9" s="18">
        <f t="shared" si="2"/>
        <v>2.0486111111111115E-2</v>
      </c>
      <c r="K9" s="20">
        <f t="shared" si="3"/>
        <v>3.1886574074074081E-2</v>
      </c>
      <c r="L9" s="334" t="s">
        <v>208</v>
      </c>
      <c r="M9" s="44">
        <f t="shared" si="0"/>
        <v>0.3297499999999971</v>
      </c>
      <c r="N9" s="45"/>
    </row>
    <row r="10" spans="1:15" s="2" customFormat="1" ht="30" customHeight="1" thickBot="1">
      <c r="A10" s="440"/>
      <c r="B10" s="39">
        <v>5</v>
      </c>
      <c r="C10" s="43" t="s">
        <v>33</v>
      </c>
      <c r="D10" s="41">
        <v>9</v>
      </c>
      <c r="E10" s="84">
        <v>41.46</v>
      </c>
      <c r="F10" s="64">
        <v>41.864444444444437</v>
      </c>
      <c r="G10" s="3">
        <v>182</v>
      </c>
      <c r="H10" s="3">
        <f t="shared" si="1"/>
        <v>37</v>
      </c>
      <c r="I10" s="18">
        <v>9.1273148148148145E-2</v>
      </c>
      <c r="J10" s="18">
        <f t="shared" si="2"/>
        <v>1.86574074074074E-2</v>
      </c>
      <c r="K10" s="20">
        <f t="shared" si="3"/>
        <v>5.9386574074074064E-2</v>
      </c>
      <c r="L10" s="334" t="s">
        <v>209</v>
      </c>
      <c r="M10" s="29">
        <f>F10-E10</f>
        <v>0.40444444444443661</v>
      </c>
      <c r="N10" s="45"/>
    </row>
    <row r="11" spans="1:15" s="2" customFormat="1" ht="30" customHeight="1" thickBot="1">
      <c r="A11" s="440"/>
      <c r="B11" s="39">
        <v>6</v>
      </c>
      <c r="C11" s="43" t="s">
        <v>28</v>
      </c>
      <c r="D11" s="41">
        <v>4</v>
      </c>
      <c r="E11" s="92">
        <v>41.16</v>
      </c>
      <c r="F11" s="85">
        <v>41.456406250000008</v>
      </c>
      <c r="G11" s="3">
        <v>247</v>
      </c>
      <c r="H11" s="30">
        <f t="shared" si="1"/>
        <v>65</v>
      </c>
      <c r="I11" s="18">
        <v>0.12333333333333334</v>
      </c>
      <c r="J11" s="18">
        <f t="shared" si="2"/>
        <v>3.2060185185185192E-2</v>
      </c>
      <c r="K11" s="26">
        <f t="shared" si="3"/>
        <v>6.3946759259259273E-2</v>
      </c>
      <c r="L11" s="334" t="s">
        <v>210</v>
      </c>
      <c r="M11" s="29">
        <f>F11-E11</f>
        <v>0.29640625000001108</v>
      </c>
      <c r="N11" s="45"/>
    </row>
    <row r="12" spans="1:15" s="2" customFormat="1" ht="30" customHeight="1" thickBot="1">
      <c r="A12" s="440"/>
      <c r="B12" s="39">
        <v>7</v>
      </c>
      <c r="C12" s="43" t="s">
        <v>33</v>
      </c>
      <c r="D12" s="41">
        <v>10</v>
      </c>
      <c r="E12" s="46">
        <v>41.06</v>
      </c>
      <c r="F12" s="64">
        <v>41.471282051282039</v>
      </c>
      <c r="G12" s="3">
        <v>287</v>
      </c>
      <c r="H12" s="30">
        <f t="shared" si="1"/>
        <v>40</v>
      </c>
      <c r="I12" s="18">
        <v>0.14305555555555557</v>
      </c>
      <c r="J12" s="18">
        <f t="shared" si="2"/>
        <v>1.9722222222222238E-2</v>
      </c>
      <c r="K12" s="25">
        <f t="shared" si="3"/>
        <v>7.9108796296296302E-2</v>
      </c>
      <c r="L12" s="334" t="s">
        <v>211</v>
      </c>
      <c r="M12" s="44">
        <f t="shared" si="0"/>
        <v>0.41128205128203632</v>
      </c>
      <c r="N12" s="50">
        <f>AVERAGE(M6,M8,M10,M12)</f>
        <v>0.3632986111111034</v>
      </c>
      <c r="O12" s="2" t="s">
        <v>66</v>
      </c>
    </row>
    <row r="13" spans="1:15" s="2" customFormat="1" ht="30" customHeight="1" thickBot="1">
      <c r="A13" s="440"/>
      <c r="B13" s="72" t="s">
        <v>52</v>
      </c>
      <c r="C13" s="52" t="s">
        <v>28</v>
      </c>
      <c r="D13" s="52">
        <v>4</v>
      </c>
      <c r="E13" s="52">
        <v>41.23</v>
      </c>
      <c r="F13" s="88">
        <v>41.578636363636356</v>
      </c>
      <c r="G13" s="53">
        <v>333</v>
      </c>
      <c r="H13" s="53">
        <f t="shared" si="1"/>
        <v>46</v>
      </c>
      <c r="I13" s="54">
        <v>0.16734953703703703</v>
      </c>
      <c r="J13" s="54">
        <f t="shared" si="2"/>
        <v>2.4293981481481458E-2</v>
      </c>
      <c r="K13" s="75">
        <f t="shared" si="3"/>
        <v>8.8240740740740731E-2</v>
      </c>
      <c r="L13" s="335" t="s">
        <v>212</v>
      </c>
      <c r="M13" s="55">
        <f t="shared" si="0"/>
        <v>0.34863636363635919</v>
      </c>
      <c r="N13" s="56">
        <f>AVERAGE(M7,M9,M11,M13)</f>
        <v>0.29869815340909156</v>
      </c>
      <c r="O13" s="2" t="s">
        <v>67</v>
      </c>
    </row>
    <row r="14" spans="1:15" ht="16.5" thickBot="1">
      <c r="A14" s="441"/>
      <c r="B14" s="445"/>
      <c r="C14" s="446"/>
      <c r="D14" s="447"/>
      <c r="E14" s="67">
        <f>AVERAGE(E6:E13)</f>
        <v>41.221250000000005</v>
      </c>
      <c r="F14" s="58">
        <f>(F6*(H6-3)+F7*H7+F8*H8+F9*H9+F10*H10+F11*H11+F12*H12+F13*H13)/(G13-3)</f>
        <v>41.542932949762779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6:A14"/>
    <mergeCell ref="B14:D14"/>
    <mergeCell ref="L4:L5"/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L19" sqref="L19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24" t="s">
        <v>73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</row>
    <row r="4" spans="1:15" s="1" customFormat="1" ht="25.5" customHeight="1">
      <c r="A4" s="425" t="s">
        <v>74</v>
      </c>
      <c r="B4" s="427" t="s">
        <v>75</v>
      </c>
      <c r="C4" s="429" t="s">
        <v>2</v>
      </c>
      <c r="D4" s="431" t="s">
        <v>76</v>
      </c>
      <c r="E4" s="433" t="s">
        <v>77</v>
      </c>
      <c r="F4" s="433" t="s">
        <v>84</v>
      </c>
      <c r="G4" s="429" t="s">
        <v>78</v>
      </c>
      <c r="H4" s="429" t="s">
        <v>51</v>
      </c>
      <c r="I4" s="429" t="s">
        <v>79</v>
      </c>
      <c r="J4" s="436" t="s">
        <v>80</v>
      </c>
      <c r="K4" s="437"/>
      <c r="L4" s="429" t="s">
        <v>181</v>
      </c>
      <c r="M4" s="436" t="s">
        <v>81</v>
      </c>
      <c r="N4" s="438"/>
    </row>
    <row r="5" spans="1:15" s="1" customFormat="1" ht="22.5" customHeight="1" thickBot="1">
      <c r="A5" s="426"/>
      <c r="B5" s="428"/>
      <c r="C5" s="430"/>
      <c r="D5" s="432"/>
      <c r="E5" s="434"/>
      <c r="F5" s="434"/>
      <c r="G5" s="430"/>
      <c r="H5" s="430"/>
      <c r="I5" s="430"/>
      <c r="J5" s="31" t="s">
        <v>1</v>
      </c>
      <c r="K5" s="31" t="s">
        <v>0</v>
      </c>
      <c r="L5" s="435"/>
      <c r="M5" s="32" t="s">
        <v>82</v>
      </c>
      <c r="N5" s="33" t="s">
        <v>83</v>
      </c>
    </row>
    <row r="6" spans="1:15" s="2" customFormat="1" ht="30" customHeight="1" thickBot="1">
      <c r="A6" s="439" t="s">
        <v>87</v>
      </c>
      <c r="B6" s="34">
        <v>1</v>
      </c>
      <c r="C6" s="35" t="s">
        <v>10</v>
      </c>
      <c r="D6" s="36">
        <v>7</v>
      </c>
      <c r="E6" s="90">
        <v>41.16</v>
      </c>
      <c r="F6" s="94">
        <f>(42.04+41.45+43.62+42.22+42.15+42.96+42.4+41.88+42.53+41.95+42.01+41.86+41.55+41.27+41.38+41.59+41.34+41.26+41.59+41.24+41.52+42.3+41.4+41.5+41.74+41.6+41.58+41.44+41.26+41.49+41.58+41.6+41.32+41.47+41.16+41.47+41.55+41.48+41.35+42.33+42.01)/41</f>
        <v>41.742439024390237</v>
      </c>
      <c r="G6" s="5">
        <v>44</v>
      </c>
      <c r="H6" s="5">
        <f>G6</f>
        <v>44</v>
      </c>
      <c r="I6" s="91">
        <v>2.1423611111111112E-2</v>
      </c>
      <c r="J6" s="19">
        <f>I6</f>
        <v>2.1423611111111112E-2</v>
      </c>
      <c r="K6" s="70">
        <f>J6</f>
        <v>2.1423611111111112E-2</v>
      </c>
      <c r="L6" s="18" t="s">
        <v>213</v>
      </c>
      <c r="M6" s="71">
        <f>F6-E6</f>
        <v>0.58243902439023998</v>
      </c>
      <c r="N6" s="38"/>
    </row>
    <row r="7" spans="1:15" s="2" customFormat="1" ht="30" customHeight="1" thickBot="1">
      <c r="A7" s="440"/>
      <c r="B7" s="39">
        <v>2</v>
      </c>
      <c r="C7" s="40" t="s">
        <v>9</v>
      </c>
      <c r="D7" s="41">
        <v>21</v>
      </c>
      <c r="E7" s="84">
        <v>41.11</v>
      </c>
      <c r="F7" s="85">
        <f>(42.41+41.75+41.43+41.44+41.44+41.44+41.11+41.63+41.31+41.39+41.31+41.38+41.98+41.6+41.27+41.66+41.71+41.56+41.41+41.46+41.35+41.31+41.45+41.52+41.47+41.27+41.4+41.29+41.29+41.39+41.23+41.3+41.18+41.33+41.38+41.33+41.39+41.26+41.35)/39</f>
        <v>41.440512820512822</v>
      </c>
      <c r="G7" s="3">
        <v>84</v>
      </c>
      <c r="H7" s="3">
        <f>G7-G6</f>
        <v>40</v>
      </c>
      <c r="I7" s="18">
        <v>4.1539351851851855E-2</v>
      </c>
      <c r="J7" s="18">
        <f>I7-I6</f>
        <v>2.0115740740740743E-2</v>
      </c>
      <c r="K7" s="20">
        <f>J7</f>
        <v>2.0115740740740743E-2</v>
      </c>
      <c r="L7" s="334" t="s">
        <v>214</v>
      </c>
      <c r="M7" s="37">
        <f t="shared" ref="M7:M13" si="0">F7-E7</f>
        <v>0.33051282051282271</v>
      </c>
      <c r="N7" s="45"/>
    </row>
    <row r="8" spans="1:15" s="2" customFormat="1" ht="30" customHeight="1">
      <c r="A8" s="440"/>
      <c r="B8" s="39">
        <v>3</v>
      </c>
      <c r="C8" s="43" t="s">
        <v>10</v>
      </c>
      <c r="D8" s="41">
        <v>1</v>
      </c>
      <c r="E8" s="49">
        <v>41.2</v>
      </c>
      <c r="F8" s="65">
        <f>(43.07+41.82+41.84+41.73+41.52+41.77+41.73+41.51+41.62+41.46+41.57+41.5+41.2+41.52+42.73+44+41.76+41.69+41.55+41.53+41.65+41.54+41.58+41.38+41.25+41.64+41.33+41.37+41.34+41.63+41.47+41.66+41.33+41.44+42.04+41.72+41.48+41.74+41.99+41.69+41.72)/41</f>
        <v>41.71</v>
      </c>
      <c r="G8" s="3">
        <v>126</v>
      </c>
      <c r="H8" s="3">
        <f t="shared" ref="H8:H13" si="1">G8-G7</f>
        <v>42</v>
      </c>
      <c r="I8" s="18">
        <v>6.2615740740740736E-2</v>
      </c>
      <c r="J8" s="18">
        <f t="shared" ref="J8:J13" si="2">I8-I7</f>
        <v>2.1076388888888881E-2</v>
      </c>
      <c r="K8" s="20">
        <f t="shared" ref="K8:K13" si="3">J8+K6</f>
        <v>4.2499999999999996E-2</v>
      </c>
      <c r="L8" s="334" t="s">
        <v>215</v>
      </c>
      <c r="M8" s="44">
        <f t="shared" si="0"/>
        <v>0.50999999999999801</v>
      </c>
      <c r="N8" s="45"/>
    </row>
    <row r="9" spans="1:15" s="2" customFormat="1" ht="30" customHeight="1">
      <c r="A9" s="440"/>
      <c r="B9" s="39">
        <v>4</v>
      </c>
      <c r="C9" s="43" t="s">
        <v>9</v>
      </c>
      <c r="D9" s="41">
        <v>21</v>
      </c>
      <c r="E9" s="43">
        <v>41.15</v>
      </c>
      <c r="F9" s="65">
        <f>(41.37+41.49+41.32+42.53+42.89+42.31+41.53+41.69+41.47+41.37+41.34+41.45+41.61+41.6+41.57+41.4+41.46+41.44+41.62+41.37+41.52+41.38+41.51+41.45+42.31+41.39+41.97+41.71+55.8+42.34+42.44+42.13+47.82+41.52+41.15+41.47)/36</f>
        <v>42.242777777777789</v>
      </c>
      <c r="G9" s="3">
        <v>163</v>
      </c>
      <c r="H9" s="3">
        <f t="shared" si="1"/>
        <v>37</v>
      </c>
      <c r="I9" s="18">
        <v>8.1469907407407408E-2</v>
      </c>
      <c r="J9" s="18">
        <f t="shared" si="2"/>
        <v>1.8854166666666672E-2</v>
      </c>
      <c r="K9" s="20">
        <f t="shared" si="3"/>
        <v>3.8969907407407411E-2</v>
      </c>
      <c r="L9" s="334" t="s">
        <v>216</v>
      </c>
      <c r="M9" s="44">
        <f t="shared" si="0"/>
        <v>1.0927777777777905</v>
      </c>
      <c r="N9" s="45"/>
    </row>
    <row r="10" spans="1:15" s="2" customFormat="1" ht="30" customHeight="1">
      <c r="A10" s="440"/>
      <c r="B10" s="39">
        <v>5</v>
      </c>
      <c r="C10" s="43" t="s">
        <v>10</v>
      </c>
      <c r="D10" s="41">
        <v>1</v>
      </c>
      <c r="E10" s="84">
        <v>41.21</v>
      </c>
      <c r="F10" s="65">
        <f>(41.85+41.67+41.9+41.35+41.48+41.32+41.49+41.38+41.62+41.43+41.28+41.7+41.33+41.41+42.1+41.39+41.39+42.03+41.55+41.59+42.12+42.68+41.48+41.55+41.63+41.42+41.41+41.33+41.33+41.44+41.28+41.21+41.82+41.52+41.5+41.75+41.66+41.58+41.55+41.4+41.38+43.93+41.59+41.52+41.33+41.58+41.94+41.56+41.86+41.73+42.21)/51</f>
        <v>41.638235294117642</v>
      </c>
      <c r="G10" s="3">
        <v>215</v>
      </c>
      <c r="H10" s="3">
        <f t="shared" si="1"/>
        <v>52</v>
      </c>
      <c r="I10" s="18">
        <v>0.10717592592592594</v>
      </c>
      <c r="J10" s="18">
        <f t="shared" si="2"/>
        <v>2.5706018518518531E-2</v>
      </c>
      <c r="K10" s="20">
        <f t="shared" si="3"/>
        <v>6.8206018518518527E-2</v>
      </c>
      <c r="L10" s="334" t="s">
        <v>217</v>
      </c>
      <c r="M10" s="29">
        <f>F10-E10</f>
        <v>0.42823529411764127</v>
      </c>
      <c r="N10" s="45"/>
    </row>
    <row r="11" spans="1:15" s="2" customFormat="1" ht="30" customHeight="1" thickBot="1">
      <c r="A11" s="440"/>
      <c r="B11" s="39">
        <v>6</v>
      </c>
      <c r="C11" s="43" t="s">
        <v>9</v>
      </c>
      <c r="D11" s="41">
        <v>21</v>
      </c>
      <c r="E11" s="43">
        <v>41.19</v>
      </c>
      <c r="F11" s="65">
        <f>(41.25+41.5+41.19+41.24+41.4+41.31+41.43+41.3+42.31+41.38+41.55+41.39+41.49+41.65+41.63+41.48+41.42+41.33+41.48+41.48+41.48+41.42+42.02+43.4+42.37)/25</f>
        <v>41.595999999999997</v>
      </c>
      <c r="G11" s="3">
        <v>241</v>
      </c>
      <c r="H11" s="3">
        <f t="shared" si="1"/>
        <v>26</v>
      </c>
      <c r="I11" s="18">
        <v>0.12040509259259259</v>
      </c>
      <c r="J11" s="18">
        <f t="shared" si="2"/>
        <v>1.3229166666666653E-2</v>
      </c>
      <c r="K11" s="26">
        <f t="shared" si="3"/>
        <v>5.2199074074074064E-2</v>
      </c>
      <c r="L11" s="334" t="s">
        <v>218</v>
      </c>
      <c r="M11" s="29">
        <f>F11-E11</f>
        <v>0.40599999999999881</v>
      </c>
      <c r="N11" s="45"/>
    </row>
    <row r="12" spans="1:15" s="2" customFormat="1" ht="30" customHeight="1" thickBot="1">
      <c r="A12" s="440"/>
      <c r="B12" s="39">
        <v>7</v>
      </c>
      <c r="C12" s="43" t="s">
        <v>10</v>
      </c>
      <c r="D12" s="41">
        <v>3</v>
      </c>
      <c r="E12" s="92">
        <v>41.15</v>
      </c>
      <c r="F12" s="85">
        <f>(42.1+41.89+41.77+41.82+41.63+41.71+41.52+41.37+41.35+41.21+41.15+41.34+41.3+41.4+42.35+41.27+41.32+41.46+41.38+41.62+41.5+43.33+42.28+41.44+41.49+41.39+41.39+41.3+41.32+41.47+41.29+41.37+41.24+41.44+41.25+41.47+41.38+41.34+41.48+41.56+42.16)/41</f>
        <v>41.557317073170736</v>
      </c>
      <c r="G12" s="3">
        <v>283</v>
      </c>
      <c r="H12" s="30">
        <f t="shared" si="1"/>
        <v>42</v>
      </c>
      <c r="I12" s="18">
        <v>0.14141203703703703</v>
      </c>
      <c r="J12" s="18">
        <f t="shared" si="2"/>
        <v>2.1006944444444439E-2</v>
      </c>
      <c r="K12" s="25">
        <f t="shared" si="3"/>
        <v>8.9212962962962966E-2</v>
      </c>
      <c r="L12" s="334" t="s">
        <v>219</v>
      </c>
      <c r="M12" s="37">
        <f t="shared" si="0"/>
        <v>0.40731707317073784</v>
      </c>
      <c r="N12" s="50">
        <f>AVERAGE(M6,M8,M10,M12)</f>
        <v>0.48199784791965428</v>
      </c>
      <c r="O12" s="2" t="s">
        <v>68</v>
      </c>
    </row>
    <row r="13" spans="1:15" s="2" customFormat="1" ht="30" customHeight="1" thickBot="1">
      <c r="A13" s="440"/>
      <c r="B13" s="72" t="s">
        <v>52</v>
      </c>
      <c r="C13" s="52" t="s">
        <v>9</v>
      </c>
      <c r="D13" s="52">
        <v>5</v>
      </c>
      <c r="E13" s="46">
        <v>41.04</v>
      </c>
      <c r="F13" s="95">
        <f>(41.95+41.41+41.46+41.13+41.33+41.11+41.32+41.18+42.72+41.45+41.36+41.45+41.32+41.25+41.21+41.2+41.34+41.18+41.43+41.69+41.91+41.06+41.33+41.04+41.5+41.46+41.34+41.56+41.18+41.46+41.1+41.11+41.39+41.36+41.43+41.49+41.56+41.66+41.38+41.64+41.66+41.61+41.59+41.61+41.4+42.02+41.6+41.43)/48</f>
        <v>41.445208333333333</v>
      </c>
      <c r="G13" s="53">
        <v>333</v>
      </c>
      <c r="H13" s="93">
        <f t="shared" si="1"/>
        <v>50</v>
      </c>
      <c r="I13" s="54">
        <v>0.16748842592592594</v>
      </c>
      <c r="J13" s="54">
        <f t="shared" si="2"/>
        <v>2.6076388888888913E-2</v>
      </c>
      <c r="K13" s="75">
        <f t="shared" si="3"/>
        <v>7.8275462962962977E-2</v>
      </c>
      <c r="L13" s="335" t="s">
        <v>220</v>
      </c>
      <c r="M13" s="55">
        <f t="shared" si="0"/>
        <v>0.40520833333333428</v>
      </c>
      <c r="N13" s="56">
        <f>AVERAGE(M7,M9,M11,M13)</f>
        <v>0.55862473290598658</v>
      </c>
      <c r="O13" s="2" t="s">
        <v>69</v>
      </c>
    </row>
    <row r="14" spans="1:15" ht="16.5" thickBot="1">
      <c r="A14" s="441"/>
      <c r="B14" s="445"/>
      <c r="C14" s="446"/>
      <c r="D14" s="447"/>
      <c r="E14" s="67">
        <f>AVERAGE(E6:E13)</f>
        <v>41.151250000000005</v>
      </c>
      <c r="F14" s="58">
        <f>(F6*(H6-3)+F7*H7+F8*H8+F9*H9+F10*H10+F11*H11+F12*H12+F13*H13)/(G13-3)</f>
        <v>41.661258362521949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6:A14"/>
    <mergeCell ref="B14:D14"/>
    <mergeCell ref="L4:L5"/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7"/>
  <sheetViews>
    <sheetView zoomScale="90" zoomScaleNormal="90" workbookViewId="0">
      <selection activeCell="O8" sqref="O8"/>
    </sheetView>
  </sheetViews>
  <sheetFormatPr defaultRowHeight="15"/>
  <cols>
    <col min="1" max="1" width="10.5703125" customWidth="1"/>
    <col min="2" max="2" width="7.28515625" customWidth="1"/>
    <col min="3" max="3" width="23.5703125" bestFit="1" customWidth="1"/>
    <col min="4" max="5" width="8.85546875" style="1" customWidth="1"/>
    <col min="6" max="6" width="15.28515625" style="1" customWidth="1"/>
    <col min="7" max="8" width="9.42578125" style="1" customWidth="1"/>
    <col min="9" max="9" width="15.7109375" style="1" customWidth="1"/>
    <col min="10" max="10" width="12.85546875" style="1" customWidth="1"/>
    <col min="11" max="11" width="14.7109375" style="1" customWidth="1"/>
    <col min="12" max="12" width="10.7109375" style="1" customWidth="1"/>
    <col min="13" max="13" width="10.5703125" style="1" customWidth="1"/>
    <col min="14" max="14" width="9.140625" style="1"/>
  </cols>
  <sheetData>
    <row r="1" spans="1:15" ht="19.5">
      <c r="A1" s="344" t="s">
        <v>85</v>
      </c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</row>
    <row r="2" spans="1:15" ht="10.5" customHeight="1"/>
    <row r="3" spans="1:15" ht="15.75" customHeight="1" thickBot="1">
      <c r="A3" s="424" t="s">
        <v>73</v>
      </c>
      <c r="B3" s="424"/>
      <c r="C3" s="424"/>
      <c r="D3" s="424"/>
      <c r="E3" s="424"/>
      <c r="F3" s="424"/>
      <c r="G3" s="424"/>
      <c r="H3" s="424"/>
      <c r="I3" s="424"/>
      <c r="J3" s="424"/>
      <c r="K3" s="424"/>
      <c r="L3" s="424"/>
      <c r="M3" s="424"/>
      <c r="N3" s="424"/>
    </row>
    <row r="4" spans="1:15" s="1" customFormat="1" ht="25.5" customHeight="1">
      <c r="A4" s="425" t="s">
        <v>74</v>
      </c>
      <c r="B4" s="427" t="s">
        <v>75</v>
      </c>
      <c r="C4" s="429" t="s">
        <v>2</v>
      </c>
      <c r="D4" s="431" t="s">
        <v>76</v>
      </c>
      <c r="E4" s="433" t="s">
        <v>77</v>
      </c>
      <c r="F4" s="433" t="s">
        <v>84</v>
      </c>
      <c r="G4" s="429" t="s">
        <v>78</v>
      </c>
      <c r="H4" s="429" t="s">
        <v>51</v>
      </c>
      <c r="I4" s="429" t="s">
        <v>79</v>
      </c>
      <c r="J4" s="436" t="s">
        <v>80</v>
      </c>
      <c r="K4" s="437"/>
      <c r="L4" s="429" t="s">
        <v>181</v>
      </c>
      <c r="M4" s="436" t="s">
        <v>81</v>
      </c>
      <c r="N4" s="438"/>
    </row>
    <row r="5" spans="1:15" s="1" customFormat="1" ht="22.5" customHeight="1" thickBot="1">
      <c r="A5" s="426"/>
      <c r="B5" s="428"/>
      <c r="C5" s="430"/>
      <c r="D5" s="432"/>
      <c r="E5" s="434"/>
      <c r="F5" s="434"/>
      <c r="G5" s="430"/>
      <c r="H5" s="430"/>
      <c r="I5" s="430"/>
      <c r="J5" s="31" t="s">
        <v>1</v>
      </c>
      <c r="K5" s="31" t="s">
        <v>0</v>
      </c>
      <c r="L5" s="435"/>
      <c r="M5" s="32" t="s">
        <v>82</v>
      </c>
      <c r="N5" s="33" t="s">
        <v>83</v>
      </c>
    </row>
    <row r="6" spans="1:15" s="2" customFormat="1" ht="30" customHeight="1" thickBot="1">
      <c r="A6" s="439" t="s">
        <v>24</v>
      </c>
      <c r="B6" s="34">
        <v>1</v>
      </c>
      <c r="C6" s="35" t="s">
        <v>26</v>
      </c>
      <c r="D6" s="36">
        <v>10</v>
      </c>
      <c r="E6" s="96">
        <v>41.66</v>
      </c>
      <c r="F6" s="68">
        <f>(42.49+42.1+43.02+42.22+42.06+42.27+42.38+41.88+42.5+41.82+42.28+42.9+41.69+42.04+42.25+42.09+42.02+41.72+41.7+41.71+41.86+41.88+41.95+41.082+42.3+42.1+41.69+41.93+42.15+41.93+42+41.66+42.12+42.09+42.23+41.93+42.34+42.09+42.43)/39</f>
        <v>42.07441025641026</v>
      </c>
      <c r="G6" s="5">
        <v>42</v>
      </c>
      <c r="H6" s="69">
        <f>G6</f>
        <v>42</v>
      </c>
      <c r="I6" s="19">
        <v>2.0613425925925927E-2</v>
      </c>
      <c r="J6" s="19">
        <f>I6</f>
        <v>2.0613425925925927E-2</v>
      </c>
      <c r="K6" s="70">
        <f>J6</f>
        <v>2.0613425925925927E-2</v>
      </c>
      <c r="L6" s="18" t="s">
        <v>221</v>
      </c>
      <c r="M6" s="37">
        <f>F6-E6</f>
        <v>0.41441025641026386</v>
      </c>
      <c r="N6" s="38"/>
    </row>
    <row r="7" spans="1:15" s="2" customFormat="1" ht="30" customHeight="1">
      <c r="A7" s="440"/>
      <c r="B7" s="39">
        <v>2</v>
      </c>
      <c r="C7" s="40" t="s">
        <v>25</v>
      </c>
      <c r="D7" s="41">
        <v>3</v>
      </c>
      <c r="E7" s="97">
        <v>41.81</v>
      </c>
      <c r="F7" s="65">
        <f>(42.34+43.45+42.38+41.96+42.08+42.14+42.45+41.93+41.69+41.94+41.9+42.02+42.45+42.58+42.28+41.81+42.03+42.09+45.12+43.31+42.18+43.04+42.08+41.99+41.94+42.06+42+42.38+43.68+42.32+42.09+42.63+42.49+42.91+42.15+42.35+42.2+41.9+41.85+42.29+42.28+41.95+42.34+42.51+42.34)/45</f>
        <v>42.353333333333339</v>
      </c>
      <c r="G7" s="3">
        <v>88</v>
      </c>
      <c r="H7" s="3">
        <f>G7-G6</f>
        <v>46</v>
      </c>
      <c r="I7" s="18">
        <v>4.3946759259259255E-2</v>
      </c>
      <c r="J7" s="18">
        <f>I7-I6</f>
        <v>2.3333333333333327E-2</v>
      </c>
      <c r="K7" s="20">
        <f>J7</f>
        <v>2.3333333333333327E-2</v>
      </c>
      <c r="L7" s="334" t="s">
        <v>222</v>
      </c>
      <c r="M7" s="37">
        <f t="shared" ref="M7:M13" si="0">F7-E7</f>
        <v>0.54333333333333655</v>
      </c>
      <c r="N7" s="45"/>
    </row>
    <row r="8" spans="1:15" s="2" customFormat="1" ht="30" customHeight="1" thickBot="1">
      <c r="A8" s="440"/>
      <c r="B8" s="39">
        <v>3</v>
      </c>
      <c r="C8" s="43" t="s">
        <v>26</v>
      </c>
      <c r="D8" s="41">
        <v>4</v>
      </c>
      <c r="E8" s="98">
        <v>41.82</v>
      </c>
      <c r="F8" s="65">
        <f>(42.89+42.49+42.42+42.3+42.14+42.13+42.17+42.15+42.32+42.87+44.37+42.19+42.11+42.38+42.47+42.26+42.14+42.24+42.05+42.35+42.62+42.13+42.37+42.34+42.23+42.23+42.47+42.64+42.11+42.32+42.52+42.57+43.17+43.6+41.82+42.07+41.9+42.18+42.32+42.16+42.12+42.58+42.89+43.16+42.14+42.25+42.44+42.18+43.39+42.3+42.29+42.32+42.54+42.43+42.42)/55</f>
        <v>42.430181818181822</v>
      </c>
      <c r="G8" s="3">
        <v>144</v>
      </c>
      <c r="H8" s="3">
        <f t="shared" ref="H8:H13" si="1">G8-G7</f>
        <v>56</v>
      </c>
      <c r="I8" s="18">
        <v>7.2175925925925921E-2</v>
      </c>
      <c r="J8" s="18">
        <f t="shared" ref="J8:J13" si="2">I8-I7</f>
        <v>2.8229166666666666E-2</v>
      </c>
      <c r="K8" s="20">
        <f t="shared" ref="K8:K12" si="3">J8+K6</f>
        <v>4.884259259259259E-2</v>
      </c>
      <c r="L8" s="334" t="s">
        <v>223</v>
      </c>
      <c r="M8" s="44">
        <f t="shared" si="0"/>
        <v>0.61018181818182171</v>
      </c>
      <c r="N8" s="45"/>
    </row>
    <row r="9" spans="1:15" s="2" customFormat="1" ht="30" customHeight="1" thickBot="1">
      <c r="A9" s="440"/>
      <c r="B9" s="39">
        <v>4</v>
      </c>
      <c r="C9" s="43" t="s">
        <v>25</v>
      </c>
      <c r="D9" s="41">
        <v>3</v>
      </c>
      <c r="E9" s="92">
        <v>41.74</v>
      </c>
      <c r="F9" s="64">
        <f>(42.44+42.53+41.98+42.52+41.98+41.91+43.1+41.74+55.83+42.36+42.35+42.11+43.08+42.67+42.26+41.88+41.94+42.03+42.38+42.06+42.13+42.11+42.36+42.44+42.24+42.01+42.43+42.46+42.39+42+42.27+42.19+42.19+42.25+42.15+42.35+43.66+42.16+44.53+43.25+42.7+43.15+43.7+42.22+42.51)/45</f>
        <v>42.733333333333348</v>
      </c>
      <c r="G9" s="3">
        <v>190</v>
      </c>
      <c r="H9" s="30">
        <f t="shared" si="1"/>
        <v>46</v>
      </c>
      <c r="I9" s="18">
        <v>9.5694444444444457E-2</v>
      </c>
      <c r="J9" s="18">
        <f t="shared" si="2"/>
        <v>2.3518518518518536E-2</v>
      </c>
      <c r="K9" s="20">
        <f t="shared" si="3"/>
        <v>4.6851851851851867E-2</v>
      </c>
      <c r="L9" s="334" t="s">
        <v>224</v>
      </c>
      <c r="M9" s="44">
        <f t="shared" si="0"/>
        <v>0.9933333333333465</v>
      </c>
      <c r="N9" s="45"/>
    </row>
    <row r="10" spans="1:15" s="2" customFormat="1" ht="30" customHeight="1">
      <c r="A10" s="440"/>
      <c r="B10" s="39">
        <v>5</v>
      </c>
      <c r="C10" s="43" t="s">
        <v>26</v>
      </c>
      <c r="D10" s="41">
        <v>5</v>
      </c>
      <c r="E10" s="97">
        <v>41.78</v>
      </c>
      <c r="F10" s="65">
        <f>(42.97+42.98+42.39+43.38+43.01+42.12+42.26+42.41+42.38+41.95+42.34+42.2+42.78+42.35+42.33+43.78+43.2+42.79+42.51+42.59+42.33+42.76+41.78+42.36+42.46+42.14+42.51+42.8+42.19+42.18+42.23+52.99+42.34+42.28+42.68+42.39+42.36+43.55+42.35+42.22+42.53+42.16+42.65)/43</f>
        <v>42.766511627906986</v>
      </c>
      <c r="G10" s="3">
        <v>234</v>
      </c>
      <c r="H10" s="3">
        <f t="shared" si="1"/>
        <v>44</v>
      </c>
      <c r="I10" s="18">
        <v>0.11815972222222222</v>
      </c>
      <c r="J10" s="18">
        <f t="shared" si="2"/>
        <v>2.2465277777777765E-2</v>
      </c>
      <c r="K10" s="20">
        <f t="shared" si="3"/>
        <v>7.1307870370370355E-2</v>
      </c>
      <c r="L10" s="334" t="s">
        <v>225</v>
      </c>
      <c r="M10" s="29">
        <f>F10-E10</f>
        <v>0.98651162790698521</v>
      </c>
      <c r="N10" s="45"/>
    </row>
    <row r="11" spans="1:15" s="2" customFormat="1" ht="30" customHeight="1">
      <c r="A11" s="440"/>
      <c r="B11" s="39">
        <v>6</v>
      </c>
      <c r="C11" s="43" t="s">
        <v>25</v>
      </c>
      <c r="D11" s="41">
        <v>9</v>
      </c>
      <c r="E11" s="99">
        <v>42.02</v>
      </c>
      <c r="F11" s="65">
        <f>(43.33+44.7+43.64+42.2+42.34+42.1+42.26+42.31+42.57+42.02+42.17+42.25+42.33+42.05+42.23+42.43+42.4+43.22+42.35+43.9+42.31+42.11+42.25+42.45+42.78+44.47+42.45+42.52+42.29+42.55+42.17+42.54+42.3+42.63+42.47+42.9+43.86+44.99+42.52+42.32+42.35+42.24+42.22+42.32+42.5+42.28+42.25+43.45+42.41+42.64+42.34+42.26+42.52+42.52+42.24+42.27)/56</f>
        <v>42.615892857142853</v>
      </c>
      <c r="G11" s="3">
        <v>292</v>
      </c>
      <c r="H11" s="3">
        <f t="shared" si="1"/>
        <v>58</v>
      </c>
      <c r="I11" s="18">
        <v>0.1477199074074074</v>
      </c>
      <c r="J11" s="18">
        <f t="shared" si="2"/>
        <v>2.9560185185185175E-2</v>
      </c>
      <c r="K11" s="25">
        <f t="shared" si="3"/>
        <v>7.6412037037037042E-2</v>
      </c>
      <c r="L11" s="334" t="s">
        <v>226</v>
      </c>
      <c r="M11" s="29">
        <f>F11-E11</f>
        <v>0.59589285714285012</v>
      </c>
      <c r="N11" s="45"/>
    </row>
    <row r="12" spans="1:15" s="2" customFormat="1" ht="30" customHeight="1">
      <c r="A12" s="440"/>
      <c r="B12" s="39">
        <v>7</v>
      </c>
      <c r="C12" s="43" t="s">
        <v>26</v>
      </c>
      <c r="D12" s="41">
        <v>6</v>
      </c>
      <c r="E12" s="99">
        <v>42.03</v>
      </c>
      <c r="F12" s="65">
        <f>(42.74+42.66+42.5+42.33+42.51+42.35+42.67+42.63+42.81+42.04+42.03+42.21+42.9)/13</f>
        <v>42.490769230769232</v>
      </c>
      <c r="G12" s="3">
        <v>306</v>
      </c>
      <c r="H12" s="3">
        <f t="shared" si="1"/>
        <v>14</v>
      </c>
      <c r="I12" s="18">
        <v>0.15542824074074074</v>
      </c>
      <c r="J12" s="101">
        <f t="shared" si="2"/>
        <v>7.7083333333333448E-3</v>
      </c>
      <c r="K12" s="26">
        <f t="shared" si="3"/>
        <v>7.90162037037037E-2</v>
      </c>
      <c r="L12" s="334" t="s">
        <v>227</v>
      </c>
      <c r="M12" s="29">
        <f t="shared" si="0"/>
        <v>0.46076923076923038</v>
      </c>
      <c r="N12" s="50">
        <f>AVERAGE(M7,M9,M11)</f>
        <v>0.71085317460317776</v>
      </c>
      <c r="O12" s="2" t="s">
        <v>70</v>
      </c>
    </row>
    <row r="13" spans="1:15" s="2" customFormat="1" ht="30" customHeight="1" thickBot="1">
      <c r="A13" s="440"/>
      <c r="B13" s="72" t="s">
        <v>52</v>
      </c>
      <c r="C13" s="52" t="s">
        <v>26</v>
      </c>
      <c r="D13" s="52">
        <v>1</v>
      </c>
      <c r="E13" s="100">
        <v>42.08</v>
      </c>
      <c r="F13" s="74">
        <f>(42.36+42.76+42.76+42.47+42.46+42.08+42.44+43.6+42.44+42.65+42.3+42.65+42.29+42.18+42.78+42.39+42.59+42.63+42.48+42.81+42.56+42.48)/22</f>
        <v>42.552727272727267</v>
      </c>
      <c r="G13" s="53">
        <v>329</v>
      </c>
      <c r="H13" s="53">
        <f t="shared" si="1"/>
        <v>23</v>
      </c>
      <c r="I13" s="54">
        <v>0.16744212962962965</v>
      </c>
      <c r="J13" s="54">
        <f t="shared" si="2"/>
        <v>1.2013888888888907E-2</v>
      </c>
      <c r="K13" s="75">
        <f>J13+K12</f>
        <v>9.1030092592592607E-2</v>
      </c>
      <c r="L13" s="335" t="s">
        <v>228</v>
      </c>
      <c r="M13" s="55">
        <f t="shared" si="0"/>
        <v>0.47272727272726911</v>
      </c>
      <c r="N13" s="56">
        <f>AVERAGE(M6,M8,M10,M12,M13)</f>
        <v>0.58892004119911401</v>
      </c>
      <c r="O13" s="2" t="s">
        <v>69</v>
      </c>
    </row>
    <row r="14" spans="1:15" ht="16.5" thickBot="1">
      <c r="A14" s="441"/>
      <c r="B14" s="445"/>
      <c r="C14" s="446"/>
      <c r="D14" s="447"/>
      <c r="E14" s="67">
        <f>AVERAGE(E6:E13)</f>
        <v>41.8675</v>
      </c>
      <c r="F14" s="58">
        <f>(F6*(H6-3)+F7*H7+F8*H8+F9*H9+F10*H10+F11*H11+F12*H12+F13*H13)/(G13-3)</f>
        <v>42.509235099173424</v>
      </c>
      <c r="G14" s="59"/>
      <c r="H14" s="59"/>
      <c r="I14" s="59"/>
      <c r="J14" s="66"/>
      <c r="K14" s="59"/>
      <c r="L14" s="59"/>
      <c r="M14" s="59"/>
      <c r="N14" s="59"/>
    </row>
    <row r="16" spans="1:15">
      <c r="A16" s="60"/>
    </row>
    <row r="17" spans="1:1" ht="15.75">
      <c r="A17" s="61"/>
    </row>
  </sheetData>
  <mergeCells count="16">
    <mergeCell ref="A6:A14"/>
    <mergeCell ref="B14:D14"/>
    <mergeCell ref="L4:L5"/>
    <mergeCell ref="A1:N1"/>
    <mergeCell ref="A3:N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M4:N4"/>
  </mergeCells>
  <pageMargins left="0.31496062992125984" right="0.31496062992125984" top="0.55118110236220474" bottom="0.11811023622047245" header="0.31496062992125984" footer="0.31496062992125984"/>
  <pageSetup paperSize="9" scale="93" orientation="portrait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2:H58"/>
  <sheetViews>
    <sheetView workbookViewId="0">
      <selection activeCell="L25" sqref="L25"/>
    </sheetView>
  </sheetViews>
  <sheetFormatPr defaultRowHeight="15"/>
  <cols>
    <col min="1" max="1" width="6.42578125" customWidth="1"/>
    <col min="2" max="2" width="20" style="140" customWidth="1"/>
    <col min="3" max="3" width="18" style="1" customWidth="1"/>
    <col min="4" max="4" width="9.140625" style="141"/>
    <col min="5" max="5" width="10.7109375" style="142" customWidth="1"/>
    <col min="6" max="6" width="10.7109375" customWidth="1"/>
    <col min="8" max="8" width="9.140625" style="59"/>
  </cols>
  <sheetData>
    <row r="2" spans="1:8" ht="16.5" thickBot="1">
      <c r="A2" s="130" t="s">
        <v>97</v>
      </c>
      <c r="B2" s="130" t="s">
        <v>2</v>
      </c>
      <c r="C2" s="130" t="s">
        <v>91</v>
      </c>
      <c r="D2" s="131" t="s">
        <v>98</v>
      </c>
      <c r="E2" s="131" t="s">
        <v>99</v>
      </c>
      <c r="F2" s="130" t="s">
        <v>100</v>
      </c>
      <c r="G2" s="130" t="s">
        <v>7</v>
      </c>
      <c r="H2" s="132" t="s">
        <v>101</v>
      </c>
    </row>
    <row r="3" spans="1:8" ht="15.75">
      <c r="A3" s="133">
        <v>1</v>
      </c>
      <c r="B3" s="63" t="s">
        <v>31</v>
      </c>
      <c r="C3" s="43" t="s">
        <v>86</v>
      </c>
      <c r="D3" s="117">
        <v>40.97</v>
      </c>
      <c r="E3" s="117">
        <v>41.447727272727271</v>
      </c>
      <c r="F3" s="114">
        <f t="shared" ref="F3:F34" si="0">E3-D3</f>
        <v>0.47772727272727167</v>
      </c>
      <c r="G3" s="260">
        <v>1</v>
      </c>
      <c r="H3" s="43">
        <v>23</v>
      </c>
    </row>
    <row r="4" spans="1:8" ht="15.75">
      <c r="A4" s="133">
        <v>2</v>
      </c>
      <c r="B4" s="113" t="s">
        <v>33</v>
      </c>
      <c r="C4" s="43" t="s">
        <v>27</v>
      </c>
      <c r="D4" s="117">
        <v>41.17</v>
      </c>
      <c r="E4" s="117">
        <v>41.518749999999997</v>
      </c>
      <c r="F4" s="114">
        <f t="shared" si="0"/>
        <v>0.34874999999999545</v>
      </c>
      <c r="G4" s="41">
        <v>1</v>
      </c>
      <c r="H4" s="43">
        <v>43</v>
      </c>
    </row>
    <row r="5" spans="1:8" ht="15.75">
      <c r="A5" s="133">
        <v>3</v>
      </c>
      <c r="B5" s="113" t="s">
        <v>10</v>
      </c>
      <c r="C5" s="43" t="s">
        <v>87</v>
      </c>
      <c r="D5" s="117">
        <v>41.21</v>
      </c>
      <c r="E5" s="117">
        <v>41.638235294117642</v>
      </c>
      <c r="F5" s="114">
        <f t="shared" si="0"/>
        <v>0.42823529411764127</v>
      </c>
      <c r="G5" s="41">
        <v>1</v>
      </c>
      <c r="H5" s="43">
        <v>52</v>
      </c>
    </row>
    <row r="6" spans="1:8" ht="15.75">
      <c r="A6" s="133">
        <v>4</v>
      </c>
      <c r="B6" s="113" t="s">
        <v>10</v>
      </c>
      <c r="C6" s="43" t="s">
        <v>87</v>
      </c>
      <c r="D6" s="117">
        <v>41.2</v>
      </c>
      <c r="E6" s="117">
        <v>41.71</v>
      </c>
      <c r="F6" s="114">
        <f t="shared" si="0"/>
        <v>0.50999999999999801</v>
      </c>
      <c r="G6" s="41">
        <v>1</v>
      </c>
      <c r="H6" s="43">
        <v>42</v>
      </c>
    </row>
    <row r="7" spans="1:8" ht="15.75">
      <c r="A7" s="133">
        <v>5</v>
      </c>
      <c r="B7" s="113" t="s">
        <v>26</v>
      </c>
      <c r="C7" s="43" t="s">
        <v>24</v>
      </c>
      <c r="D7" s="117">
        <v>42.08</v>
      </c>
      <c r="E7" s="117">
        <v>42.552727272727267</v>
      </c>
      <c r="F7" s="114">
        <f t="shared" si="0"/>
        <v>0.47272727272726911</v>
      </c>
      <c r="G7" s="41">
        <v>1</v>
      </c>
      <c r="H7" s="43">
        <v>23</v>
      </c>
    </row>
    <row r="8" spans="1:8" ht="15.75">
      <c r="A8" s="133">
        <v>6</v>
      </c>
      <c r="B8" s="135" t="s">
        <v>44</v>
      </c>
      <c r="C8" s="43" t="s">
        <v>43</v>
      </c>
      <c r="D8" s="117">
        <v>40.93</v>
      </c>
      <c r="E8" s="117">
        <v>41.230370370370373</v>
      </c>
      <c r="F8" s="114">
        <f t="shared" si="0"/>
        <v>0.30037037037037351</v>
      </c>
      <c r="G8" s="41">
        <v>2</v>
      </c>
      <c r="H8" s="43">
        <v>28</v>
      </c>
    </row>
    <row r="9" spans="1:8" ht="15.75">
      <c r="A9" s="133">
        <v>7</v>
      </c>
      <c r="B9" s="63" t="s">
        <v>32</v>
      </c>
      <c r="C9" s="43" t="s">
        <v>86</v>
      </c>
      <c r="D9" s="117">
        <v>41.06</v>
      </c>
      <c r="E9" s="117">
        <v>41.325319148936181</v>
      </c>
      <c r="F9" s="114">
        <f t="shared" si="0"/>
        <v>0.26531914893617881</v>
      </c>
      <c r="G9" s="30">
        <v>2</v>
      </c>
      <c r="H9" s="43">
        <v>48</v>
      </c>
    </row>
    <row r="10" spans="1:8" ht="15.75">
      <c r="A10" s="133">
        <v>8</v>
      </c>
      <c r="B10" s="63" t="s">
        <v>32</v>
      </c>
      <c r="C10" s="43" t="s">
        <v>86</v>
      </c>
      <c r="D10" s="117">
        <v>41.15</v>
      </c>
      <c r="E10" s="117">
        <v>41.438823529411764</v>
      </c>
      <c r="F10" s="114">
        <f t="shared" si="0"/>
        <v>0.28882352941176492</v>
      </c>
      <c r="G10" s="138">
        <v>2</v>
      </c>
      <c r="H10" s="43">
        <v>35</v>
      </c>
    </row>
    <row r="11" spans="1:8" ht="15.75">
      <c r="A11" s="133">
        <v>9</v>
      </c>
      <c r="B11" s="135" t="s">
        <v>44</v>
      </c>
      <c r="C11" s="43" t="s">
        <v>43</v>
      </c>
      <c r="D11" s="117">
        <v>41.03</v>
      </c>
      <c r="E11" s="117">
        <v>41.454358974358961</v>
      </c>
      <c r="F11" s="114">
        <f t="shared" si="0"/>
        <v>0.42435897435895953</v>
      </c>
      <c r="G11" s="84">
        <v>2</v>
      </c>
      <c r="H11" s="43">
        <v>40</v>
      </c>
    </row>
    <row r="12" spans="1:8" ht="15.75">
      <c r="A12" s="133">
        <v>10</v>
      </c>
      <c r="B12" s="113" t="s">
        <v>10</v>
      </c>
      <c r="C12" s="43" t="s">
        <v>87</v>
      </c>
      <c r="D12" s="117">
        <v>41.15</v>
      </c>
      <c r="E12" s="117">
        <v>41.557317073170736</v>
      </c>
      <c r="F12" s="114">
        <f t="shared" si="0"/>
        <v>0.40731707317073784</v>
      </c>
      <c r="G12" s="43">
        <v>3</v>
      </c>
      <c r="H12" s="43">
        <v>42</v>
      </c>
    </row>
    <row r="13" spans="1:8" ht="15.75">
      <c r="A13" s="133">
        <v>11</v>
      </c>
      <c r="B13" s="63" t="s">
        <v>47</v>
      </c>
      <c r="C13" s="43" t="s">
        <v>50</v>
      </c>
      <c r="D13" s="117">
        <v>41.36</v>
      </c>
      <c r="E13" s="117">
        <v>41.64</v>
      </c>
      <c r="F13" s="114">
        <f t="shared" si="0"/>
        <v>0.28000000000000114</v>
      </c>
      <c r="G13" s="134">
        <v>3</v>
      </c>
      <c r="H13" s="43">
        <v>24</v>
      </c>
    </row>
    <row r="14" spans="1:8" ht="15.75">
      <c r="A14" s="133">
        <v>12</v>
      </c>
      <c r="B14" s="113" t="s">
        <v>25</v>
      </c>
      <c r="C14" s="43" t="s">
        <v>24</v>
      </c>
      <c r="D14" s="117">
        <v>41.81</v>
      </c>
      <c r="E14" s="117">
        <v>42.353333333333339</v>
      </c>
      <c r="F14" s="114">
        <f t="shared" si="0"/>
        <v>0.54333333333333655</v>
      </c>
      <c r="G14" s="43">
        <v>3</v>
      </c>
      <c r="H14" s="43">
        <v>46</v>
      </c>
    </row>
    <row r="15" spans="1:8" ht="15.75">
      <c r="A15" s="133">
        <v>13</v>
      </c>
      <c r="B15" s="113" t="s">
        <v>25</v>
      </c>
      <c r="C15" s="43" t="s">
        <v>24</v>
      </c>
      <c r="D15" s="137">
        <v>41.74</v>
      </c>
      <c r="E15" s="137">
        <v>42.733333333333348</v>
      </c>
      <c r="F15" s="114">
        <f t="shared" si="0"/>
        <v>0.9933333333333465</v>
      </c>
      <c r="G15" s="136">
        <v>3</v>
      </c>
      <c r="H15" s="99">
        <v>46</v>
      </c>
    </row>
    <row r="16" spans="1:8" ht="15.75">
      <c r="A16" s="133">
        <v>14</v>
      </c>
      <c r="B16" s="135" t="s">
        <v>28</v>
      </c>
      <c r="C16" s="43" t="s">
        <v>27</v>
      </c>
      <c r="D16" s="117">
        <v>41.16</v>
      </c>
      <c r="E16" s="117">
        <v>41.456406250000008</v>
      </c>
      <c r="F16" s="114">
        <f t="shared" si="0"/>
        <v>0.29640625000001108</v>
      </c>
      <c r="G16" s="43">
        <v>4</v>
      </c>
      <c r="H16" s="43">
        <v>65</v>
      </c>
    </row>
    <row r="17" spans="1:8" ht="15.75">
      <c r="A17" s="133">
        <v>15</v>
      </c>
      <c r="B17" s="113" t="s">
        <v>28</v>
      </c>
      <c r="C17" s="43" t="s">
        <v>27</v>
      </c>
      <c r="D17" s="137">
        <v>41.23</v>
      </c>
      <c r="E17" s="137">
        <v>41.578636363636356</v>
      </c>
      <c r="F17" s="114">
        <f t="shared" si="0"/>
        <v>0.34863636363635919</v>
      </c>
      <c r="G17" s="136">
        <v>4</v>
      </c>
      <c r="H17" s="99">
        <v>46</v>
      </c>
    </row>
    <row r="18" spans="1:8" ht="15.75">
      <c r="A18" s="133">
        <v>16</v>
      </c>
      <c r="B18" s="63" t="s">
        <v>32</v>
      </c>
      <c r="C18" s="43" t="s">
        <v>86</v>
      </c>
      <c r="D18" s="117">
        <v>41.2</v>
      </c>
      <c r="E18" s="117">
        <v>41.623749999999987</v>
      </c>
      <c r="F18" s="114">
        <f t="shared" si="0"/>
        <v>0.42374999999998408</v>
      </c>
      <c r="G18" s="43">
        <v>4</v>
      </c>
      <c r="H18" s="43">
        <v>43</v>
      </c>
    </row>
    <row r="19" spans="1:8" ht="15.75">
      <c r="A19" s="133">
        <v>17</v>
      </c>
      <c r="B19" s="135" t="s">
        <v>26</v>
      </c>
      <c r="C19" s="43" t="s">
        <v>24</v>
      </c>
      <c r="D19" s="117">
        <v>41.82</v>
      </c>
      <c r="E19" s="117">
        <v>42.430181818181822</v>
      </c>
      <c r="F19" s="114">
        <f t="shared" si="0"/>
        <v>0.61018181818182171</v>
      </c>
      <c r="G19" s="43">
        <v>4</v>
      </c>
      <c r="H19" s="43">
        <v>56</v>
      </c>
    </row>
    <row r="20" spans="1:8" ht="15.75">
      <c r="A20" s="133">
        <v>18</v>
      </c>
      <c r="B20" s="63" t="s">
        <v>9</v>
      </c>
      <c r="C20" s="43" t="s">
        <v>87</v>
      </c>
      <c r="D20" s="117">
        <v>41.04</v>
      </c>
      <c r="E20" s="117">
        <v>41.445208333333333</v>
      </c>
      <c r="F20" s="114">
        <f t="shared" si="0"/>
        <v>0.40520833333333428</v>
      </c>
      <c r="G20" s="3">
        <v>5</v>
      </c>
      <c r="H20" s="43">
        <v>50</v>
      </c>
    </row>
    <row r="21" spans="1:8" ht="15.75">
      <c r="A21" s="133">
        <v>19</v>
      </c>
      <c r="B21" s="63" t="s">
        <v>28</v>
      </c>
      <c r="C21" s="43" t="s">
        <v>27</v>
      </c>
      <c r="D21" s="117">
        <v>41.33</v>
      </c>
      <c r="E21" s="117">
        <v>41.55</v>
      </c>
      <c r="F21" s="114">
        <f t="shared" si="0"/>
        <v>0.21999999999999886</v>
      </c>
      <c r="G21" s="134">
        <v>5</v>
      </c>
      <c r="H21" s="43">
        <v>21</v>
      </c>
    </row>
    <row r="22" spans="1:8" ht="15.75">
      <c r="A22" s="133">
        <v>20</v>
      </c>
      <c r="B22" s="63" t="s">
        <v>115</v>
      </c>
      <c r="C22" s="43" t="s">
        <v>43</v>
      </c>
      <c r="D22" s="117">
        <v>41.37</v>
      </c>
      <c r="E22" s="117">
        <v>41.761250000000018</v>
      </c>
      <c r="F22" s="114">
        <f t="shared" si="0"/>
        <v>0.39125000000002075</v>
      </c>
      <c r="G22" s="134">
        <v>5</v>
      </c>
      <c r="H22" s="43">
        <v>41</v>
      </c>
    </row>
    <row r="23" spans="1:8" ht="15.75">
      <c r="A23" s="133">
        <v>21</v>
      </c>
      <c r="B23" s="63" t="s">
        <v>26</v>
      </c>
      <c r="C23" s="43" t="s">
        <v>24</v>
      </c>
      <c r="D23" s="117">
        <v>41.78</v>
      </c>
      <c r="E23" s="117">
        <v>42.766511627906986</v>
      </c>
      <c r="F23" s="114">
        <f t="shared" si="0"/>
        <v>0.98651162790698521</v>
      </c>
      <c r="G23" s="139">
        <v>5</v>
      </c>
      <c r="H23" s="43">
        <v>44</v>
      </c>
    </row>
    <row r="24" spans="1:8" ht="15.75">
      <c r="A24" s="133">
        <v>22</v>
      </c>
      <c r="B24" s="63" t="s">
        <v>16</v>
      </c>
      <c r="C24" s="43" t="s">
        <v>114</v>
      </c>
      <c r="D24" s="117">
        <v>40.93</v>
      </c>
      <c r="E24" s="117">
        <v>41.367727272727272</v>
      </c>
      <c r="F24" s="114">
        <f t="shared" si="0"/>
        <v>0.43772727272727252</v>
      </c>
      <c r="G24" s="43">
        <v>6</v>
      </c>
      <c r="H24" s="43">
        <v>23</v>
      </c>
    </row>
    <row r="25" spans="1:8" ht="15.75">
      <c r="A25" s="133">
        <v>23</v>
      </c>
      <c r="B25" s="113" t="s">
        <v>47</v>
      </c>
      <c r="C25" s="43" t="s">
        <v>50</v>
      </c>
      <c r="D25" s="117">
        <v>41.24</v>
      </c>
      <c r="E25" s="117">
        <v>41.548070175438582</v>
      </c>
      <c r="F25" s="114">
        <f t="shared" si="0"/>
        <v>0.30807017543857995</v>
      </c>
      <c r="G25" s="43">
        <v>6</v>
      </c>
      <c r="H25" s="43">
        <v>58</v>
      </c>
    </row>
    <row r="26" spans="1:8" ht="15.75">
      <c r="A26" s="133">
        <v>24</v>
      </c>
      <c r="B26" s="63" t="s">
        <v>28</v>
      </c>
      <c r="C26" s="43" t="s">
        <v>27</v>
      </c>
      <c r="D26" s="117">
        <v>41.28</v>
      </c>
      <c r="E26" s="117">
        <v>41.609749999999998</v>
      </c>
      <c r="F26" s="114">
        <f t="shared" si="0"/>
        <v>0.3297499999999971</v>
      </c>
      <c r="G26" s="139">
        <v>6</v>
      </c>
      <c r="H26" s="43">
        <v>41</v>
      </c>
    </row>
    <row r="27" spans="1:8" ht="15.75">
      <c r="A27" s="133">
        <v>25</v>
      </c>
      <c r="B27" s="135" t="s">
        <v>26</v>
      </c>
      <c r="C27" s="43" t="s">
        <v>24</v>
      </c>
      <c r="D27" s="117">
        <v>42.03</v>
      </c>
      <c r="E27" s="117">
        <v>42.490769230769232</v>
      </c>
      <c r="F27" s="114">
        <f t="shared" si="0"/>
        <v>0.46076923076923038</v>
      </c>
      <c r="G27" s="43">
        <v>6</v>
      </c>
      <c r="H27" s="43">
        <v>14</v>
      </c>
    </row>
    <row r="28" spans="1:8" ht="15.75">
      <c r="A28" s="133">
        <v>26</v>
      </c>
      <c r="B28" s="135" t="s">
        <v>47</v>
      </c>
      <c r="C28" s="43" t="s">
        <v>50</v>
      </c>
      <c r="D28" s="117">
        <v>41.08</v>
      </c>
      <c r="E28" s="117">
        <v>41.371363636363633</v>
      </c>
      <c r="F28" s="114">
        <f t="shared" si="0"/>
        <v>0.29136363636363427</v>
      </c>
      <c r="G28" s="43">
        <v>7</v>
      </c>
      <c r="H28" s="43">
        <v>23</v>
      </c>
    </row>
    <row r="29" spans="1:8" ht="15.75">
      <c r="A29" s="133">
        <v>27</v>
      </c>
      <c r="B29" s="135" t="s">
        <v>47</v>
      </c>
      <c r="C29" s="43" t="s">
        <v>50</v>
      </c>
      <c r="D29" s="117">
        <v>41.22</v>
      </c>
      <c r="E29" s="117">
        <v>41.579354838709669</v>
      </c>
      <c r="F29" s="114">
        <f t="shared" si="0"/>
        <v>0.35935483870967033</v>
      </c>
      <c r="G29" s="43">
        <v>7</v>
      </c>
      <c r="H29" s="43">
        <v>63</v>
      </c>
    </row>
    <row r="30" spans="1:8" ht="15.75">
      <c r="A30" s="133">
        <v>28</v>
      </c>
      <c r="B30" s="63" t="s">
        <v>10</v>
      </c>
      <c r="C30" s="43" t="s">
        <v>87</v>
      </c>
      <c r="D30" s="117">
        <v>41.16</v>
      </c>
      <c r="E30" s="117">
        <v>41.742439024390237</v>
      </c>
      <c r="F30" s="114">
        <f t="shared" si="0"/>
        <v>0.58243902439023998</v>
      </c>
      <c r="G30" s="134">
        <v>7</v>
      </c>
      <c r="H30" s="43">
        <v>44</v>
      </c>
    </row>
    <row r="31" spans="1:8" ht="15.75">
      <c r="A31" s="133">
        <v>29</v>
      </c>
      <c r="B31" s="135" t="s">
        <v>115</v>
      </c>
      <c r="C31" s="43" t="s">
        <v>43</v>
      </c>
      <c r="D31" s="117">
        <v>41.38</v>
      </c>
      <c r="E31" s="117">
        <v>41.8754347826087</v>
      </c>
      <c r="F31" s="114">
        <f t="shared" si="0"/>
        <v>0.49543478260869733</v>
      </c>
      <c r="G31" s="43">
        <v>7</v>
      </c>
      <c r="H31" s="43">
        <v>47</v>
      </c>
    </row>
    <row r="32" spans="1:8" ht="15.75">
      <c r="A32" s="133">
        <v>30</v>
      </c>
      <c r="B32" s="113" t="s">
        <v>48</v>
      </c>
      <c r="C32" s="43" t="s">
        <v>50</v>
      </c>
      <c r="D32" s="117">
        <v>41.11</v>
      </c>
      <c r="E32" s="117">
        <v>41.457249999999995</v>
      </c>
      <c r="F32" s="114">
        <f t="shared" si="0"/>
        <v>0.3472499999999954</v>
      </c>
      <c r="G32" s="43">
        <v>9</v>
      </c>
      <c r="H32" s="43">
        <v>43</v>
      </c>
    </row>
    <row r="33" spans="1:8" ht="15.75">
      <c r="A33" s="133">
        <v>31</v>
      </c>
      <c r="B33" s="113" t="s">
        <v>115</v>
      </c>
      <c r="C33" s="43" t="s">
        <v>43</v>
      </c>
      <c r="D33" s="117">
        <v>41.6</v>
      </c>
      <c r="E33" s="117">
        <v>41.828500000000005</v>
      </c>
      <c r="F33" s="114">
        <f t="shared" si="0"/>
        <v>0.22850000000000392</v>
      </c>
      <c r="G33" s="43">
        <v>9</v>
      </c>
      <c r="H33" s="43">
        <v>21</v>
      </c>
    </row>
    <row r="34" spans="1:8" ht="15.75">
      <c r="A34" s="133">
        <v>32</v>
      </c>
      <c r="B34" s="113" t="s">
        <v>33</v>
      </c>
      <c r="C34" s="43" t="s">
        <v>27</v>
      </c>
      <c r="D34" s="117">
        <v>41.46</v>
      </c>
      <c r="E34" s="117">
        <v>41.864444444444437</v>
      </c>
      <c r="F34" s="114">
        <f t="shared" si="0"/>
        <v>0.40444444444443661</v>
      </c>
      <c r="G34" s="43">
        <v>9</v>
      </c>
      <c r="H34" s="43">
        <v>37</v>
      </c>
    </row>
    <row r="35" spans="1:8" ht="15.75">
      <c r="A35" s="133">
        <v>33</v>
      </c>
      <c r="B35" s="135" t="s">
        <v>25</v>
      </c>
      <c r="C35" s="43" t="s">
        <v>24</v>
      </c>
      <c r="D35" s="117">
        <v>42.02</v>
      </c>
      <c r="E35" s="117">
        <v>42.615892857142853</v>
      </c>
      <c r="F35" s="114">
        <f t="shared" ref="F35:F58" si="1">E35-D35</f>
        <v>0.59589285714285012</v>
      </c>
      <c r="G35" s="43">
        <v>9</v>
      </c>
      <c r="H35" s="43">
        <v>58</v>
      </c>
    </row>
    <row r="36" spans="1:8" ht="15.75">
      <c r="A36" s="133">
        <v>34</v>
      </c>
      <c r="B36" s="135" t="s">
        <v>33</v>
      </c>
      <c r="C36" s="43" t="s">
        <v>27</v>
      </c>
      <c r="D36" s="117">
        <v>41.08</v>
      </c>
      <c r="E36" s="117">
        <v>41.368717948717944</v>
      </c>
      <c r="F36" s="114">
        <f t="shared" si="1"/>
        <v>0.28871794871794521</v>
      </c>
      <c r="G36" s="138">
        <v>10</v>
      </c>
      <c r="H36" s="43">
        <v>40</v>
      </c>
    </row>
    <row r="37" spans="1:8" ht="15.75">
      <c r="A37" s="133">
        <v>35</v>
      </c>
      <c r="B37" s="113" t="s">
        <v>33</v>
      </c>
      <c r="C37" s="43" t="s">
        <v>27</v>
      </c>
      <c r="D37" s="137">
        <v>41.06</v>
      </c>
      <c r="E37" s="137">
        <v>41.471282051282039</v>
      </c>
      <c r="F37" s="114">
        <f t="shared" si="1"/>
        <v>0.41128205128203632</v>
      </c>
      <c r="G37" s="136">
        <v>10</v>
      </c>
      <c r="H37" s="99">
        <v>40</v>
      </c>
    </row>
    <row r="38" spans="1:8" ht="15.75">
      <c r="A38" s="133">
        <v>36</v>
      </c>
      <c r="B38" s="113" t="s">
        <v>48</v>
      </c>
      <c r="C38" s="43" t="s">
        <v>50</v>
      </c>
      <c r="D38" s="117">
        <v>41.26</v>
      </c>
      <c r="E38" s="117">
        <v>41.542000000000002</v>
      </c>
      <c r="F38" s="114">
        <f t="shared" si="1"/>
        <v>0.28200000000000358</v>
      </c>
      <c r="G38" s="43">
        <v>10</v>
      </c>
      <c r="H38" s="43">
        <v>41</v>
      </c>
    </row>
    <row r="39" spans="1:8" ht="15.75">
      <c r="A39" s="133">
        <v>37</v>
      </c>
      <c r="B39" s="63" t="s">
        <v>26</v>
      </c>
      <c r="C39" s="43" t="s">
        <v>24</v>
      </c>
      <c r="D39" s="117">
        <v>41.66</v>
      </c>
      <c r="E39" s="117">
        <v>42.07441025641026</v>
      </c>
      <c r="F39" s="114">
        <f t="shared" si="1"/>
        <v>0.41441025641026386</v>
      </c>
      <c r="G39" s="3">
        <v>10</v>
      </c>
      <c r="H39" s="43">
        <v>42</v>
      </c>
    </row>
    <row r="40" spans="1:8" ht="15.75">
      <c r="A40" s="133">
        <v>38</v>
      </c>
      <c r="B40" s="113" t="s">
        <v>16</v>
      </c>
      <c r="C40" s="43" t="s">
        <v>114</v>
      </c>
      <c r="D40" s="117">
        <v>41.12</v>
      </c>
      <c r="E40" s="117">
        <v>41.355151515151526</v>
      </c>
      <c r="F40" s="114">
        <f t="shared" si="1"/>
        <v>0.23515151515152866</v>
      </c>
      <c r="G40" s="43">
        <v>11</v>
      </c>
      <c r="H40" s="43">
        <v>35</v>
      </c>
    </row>
    <row r="41" spans="1:8" ht="15.75">
      <c r="A41" s="133">
        <v>39</v>
      </c>
      <c r="B41" s="113" t="s">
        <v>16</v>
      </c>
      <c r="C41" s="43" t="s">
        <v>114</v>
      </c>
      <c r="D41" s="117">
        <v>41.11</v>
      </c>
      <c r="E41" s="117">
        <v>41.440000000000005</v>
      </c>
      <c r="F41" s="114">
        <f t="shared" si="1"/>
        <v>0.3300000000000054</v>
      </c>
      <c r="G41" s="43">
        <v>11</v>
      </c>
      <c r="H41" s="43">
        <v>28</v>
      </c>
    </row>
    <row r="42" spans="1:8" ht="15.75">
      <c r="A42" s="133">
        <v>40</v>
      </c>
      <c r="B42" s="135" t="s">
        <v>16</v>
      </c>
      <c r="C42" s="43" t="s">
        <v>114</v>
      </c>
      <c r="D42" s="117">
        <v>41.19</v>
      </c>
      <c r="E42" s="117">
        <v>41.498510638297866</v>
      </c>
      <c r="F42" s="114">
        <f t="shared" si="1"/>
        <v>0.30851063829786796</v>
      </c>
      <c r="G42" s="43">
        <v>11</v>
      </c>
      <c r="H42" s="43">
        <v>48</v>
      </c>
    </row>
    <row r="43" spans="1:8" ht="15.75">
      <c r="A43" s="133">
        <v>41</v>
      </c>
      <c r="B43" s="113" t="s">
        <v>31</v>
      </c>
      <c r="C43" s="43" t="s">
        <v>86</v>
      </c>
      <c r="D43" s="137">
        <v>41.28</v>
      </c>
      <c r="E43" s="137">
        <v>41.611904761904768</v>
      </c>
      <c r="F43" s="114">
        <f t="shared" si="1"/>
        <v>0.33190476190476659</v>
      </c>
      <c r="G43" s="136">
        <v>11</v>
      </c>
      <c r="H43" s="99">
        <v>22</v>
      </c>
    </row>
    <row r="44" spans="1:8" ht="15.75">
      <c r="A44" s="133">
        <v>42</v>
      </c>
      <c r="B44" s="135" t="s">
        <v>31</v>
      </c>
      <c r="C44" s="43" t="s">
        <v>86</v>
      </c>
      <c r="D44" s="117">
        <v>41.06</v>
      </c>
      <c r="E44" s="117">
        <v>41.389999999999993</v>
      </c>
      <c r="F44" s="114">
        <f t="shared" si="1"/>
        <v>0.32999999999999119</v>
      </c>
      <c r="G44" s="43">
        <v>14</v>
      </c>
      <c r="H44" s="43">
        <v>59</v>
      </c>
    </row>
    <row r="45" spans="1:8" ht="15.75">
      <c r="A45" s="133">
        <v>43</v>
      </c>
      <c r="B45" s="63" t="s">
        <v>31</v>
      </c>
      <c r="C45" s="43" t="s">
        <v>86</v>
      </c>
      <c r="D45" s="117">
        <v>41.04</v>
      </c>
      <c r="E45" s="117">
        <v>41.491132075471704</v>
      </c>
      <c r="F45" s="114">
        <f t="shared" si="1"/>
        <v>0.45113207547170475</v>
      </c>
      <c r="G45" s="3">
        <v>14</v>
      </c>
      <c r="H45" s="43">
        <v>54</v>
      </c>
    </row>
    <row r="46" spans="1:8" ht="15.75">
      <c r="A46" s="133">
        <v>44</v>
      </c>
      <c r="B46" s="113" t="s">
        <v>48</v>
      </c>
      <c r="C46" s="43" t="s">
        <v>50</v>
      </c>
      <c r="D46" s="137">
        <v>41.1</v>
      </c>
      <c r="E46" s="137">
        <v>41.523939393939393</v>
      </c>
      <c r="F46" s="114">
        <f t="shared" si="1"/>
        <v>0.42393939393939206</v>
      </c>
      <c r="G46" s="136">
        <v>14</v>
      </c>
      <c r="H46" s="99">
        <v>35</v>
      </c>
    </row>
    <row r="47" spans="1:8" ht="15.75">
      <c r="A47" s="133">
        <v>45</v>
      </c>
      <c r="B47" s="113" t="s">
        <v>115</v>
      </c>
      <c r="C47" s="43" t="s">
        <v>43</v>
      </c>
      <c r="D47" s="117">
        <v>41.19</v>
      </c>
      <c r="E47" s="117">
        <v>41.579250000000009</v>
      </c>
      <c r="F47" s="114">
        <f t="shared" si="1"/>
        <v>0.3892500000000112</v>
      </c>
      <c r="G47" s="43">
        <v>14</v>
      </c>
      <c r="H47" s="43">
        <v>43</v>
      </c>
    </row>
    <row r="48" spans="1:8" ht="15.75">
      <c r="A48" s="133">
        <v>46</v>
      </c>
      <c r="B48" s="63" t="s">
        <v>44</v>
      </c>
      <c r="C48" s="43" t="s">
        <v>43</v>
      </c>
      <c r="D48" s="117">
        <v>40.770000000000003</v>
      </c>
      <c r="E48" s="117">
        <v>41.11910714285716</v>
      </c>
      <c r="F48" s="114">
        <f t="shared" si="1"/>
        <v>0.34910714285715727</v>
      </c>
      <c r="G48" s="43">
        <v>15</v>
      </c>
      <c r="H48" s="43">
        <v>58</v>
      </c>
    </row>
    <row r="49" spans="1:8" ht="15.75">
      <c r="A49" s="133">
        <v>47</v>
      </c>
      <c r="B49" s="63" t="s">
        <v>16</v>
      </c>
      <c r="C49" s="43" t="s">
        <v>114</v>
      </c>
      <c r="D49" s="117">
        <v>40.93</v>
      </c>
      <c r="E49" s="117">
        <v>41.306500000000007</v>
      </c>
      <c r="F49" s="114">
        <f t="shared" si="1"/>
        <v>0.37650000000000716</v>
      </c>
      <c r="G49" s="43">
        <v>15</v>
      </c>
      <c r="H49" s="43">
        <v>43</v>
      </c>
    </row>
    <row r="50" spans="1:8" ht="15.75">
      <c r="A50" s="133">
        <v>48</v>
      </c>
      <c r="B50" s="135" t="s">
        <v>14</v>
      </c>
      <c r="C50" s="43" t="s">
        <v>114</v>
      </c>
      <c r="D50" s="117">
        <v>41.09</v>
      </c>
      <c r="E50" s="117">
        <v>41.413448275862066</v>
      </c>
      <c r="F50" s="114">
        <f t="shared" si="1"/>
        <v>0.32344827586206293</v>
      </c>
      <c r="G50" s="43">
        <v>15</v>
      </c>
      <c r="H50" s="43">
        <v>59</v>
      </c>
    </row>
    <row r="51" spans="1:8" ht="15.75">
      <c r="A51" s="133">
        <v>49</v>
      </c>
      <c r="B51" s="113" t="s">
        <v>14</v>
      </c>
      <c r="C51" s="43" t="s">
        <v>114</v>
      </c>
      <c r="D51" s="117">
        <v>41.03</v>
      </c>
      <c r="E51" s="117">
        <v>41.856393442622952</v>
      </c>
      <c r="F51" s="114">
        <f t="shared" si="1"/>
        <v>0.82639344262295111</v>
      </c>
      <c r="G51" s="43">
        <v>15</v>
      </c>
      <c r="H51" s="43">
        <v>61</v>
      </c>
    </row>
    <row r="52" spans="1:8" ht="15.75">
      <c r="A52" s="133">
        <v>50</v>
      </c>
      <c r="B52" s="63" t="s">
        <v>32</v>
      </c>
      <c r="C52" s="43" t="s">
        <v>86</v>
      </c>
      <c r="D52" s="117">
        <v>40.99</v>
      </c>
      <c r="E52" s="117">
        <v>41.366170212765965</v>
      </c>
      <c r="F52" s="114">
        <f t="shared" si="1"/>
        <v>0.37617021276596319</v>
      </c>
      <c r="G52" s="43">
        <v>21</v>
      </c>
      <c r="H52" s="43">
        <v>49</v>
      </c>
    </row>
    <row r="53" spans="1:8" ht="15.75">
      <c r="A53" s="133">
        <v>51</v>
      </c>
      <c r="B53" s="113" t="s">
        <v>9</v>
      </c>
      <c r="C53" s="43" t="s">
        <v>87</v>
      </c>
      <c r="D53" s="117">
        <v>41.11</v>
      </c>
      <c r="E53" s="117">
        <v>41.440512820512822</v>
      </c>
      <c r="F53" s="114">
        <f t="shared" si="1"/>
        <v>0.33051282051282271</v>
      </c>
      <c r="G53" s="43">
        <v>21</v>
      </c>
      <c r="H53" s="43">
        <v>40</v>
      </c>
    </row>
    <row r="54" spans="1:8" ht="15.75">
      <c r="A54" s="133">
        <v>52</v>
      </c>
      <c r="B54" s="113" t="s">
        <v>9</v>
      </c>
      <c r="C54" s="43" t="s">
        <v>87</v>
      </c>
      <c r="D54" s="117">
        <v>41.19</v>
      </c>
      <c r="E54" s="117">
        <v>41.595999999999997</v>
      </c>
      <c r="F54" s="114">
        <f t="shared" si="1"/>
        <v>0.40599999999999881</v>
      </c>
      <c r="G54" s="134">
        <v>21</v>
      </c>
      <c r="H54" s="43">
        <v>26</v>
      </c>
    </row>
    <row r="55" spans="1:8" ht="15.75">
      <c r="A55" s="133">
        <v>53</v>
      </c>
      <c r="B55" s="113" t="s">
        <v>9</v>
      </c>
      <c r="C55" s="43" t="s">
        <v>87</v>
      </c>
      <c r="D55" s="117">
        <v>41.15</v>
      </c>
      <c r="E55" s="117">
        <v>42.242777777777789</v>
      </c>
      <c r="F55" s="114">
        <f t="shared" si="1"/>
        <v>1.0927777777777905</v>
      </c>
      <c r="G55" s="43">
        <v>21</v>
      </c>
      <c r="H55" s="43">
        <v>37</v>
      </c>
    </row>
    <row r="56" spans="1:8" ht="15.75">
      <c r="A56" s="133">
        <v>54</v>
      </c>
      <c r="B56" s="63" t="s">
        <v>48</v>
      </c>
      <c r="C56" s="43" t="s">
        <v>50</v>
      </c>
      <c r="D56" s="117">
        <v>40.98</v>
      </c>
      <c r="E56" s="117">
        <v>41.228695652173904</v>
      </c>
      <c r="F56" s="114">
        <f t="shared" si="1"/>
        <v>0.24869565217390743</v>
      </c>
      <c r="G56" s="134">
        <v>88</v>
      </c>
      <c r="H56" s="43">
        <v>47</v>
      </c>
    </row>
    <row r="57" spans="1:8" ht="15.75">
      <c r="A57" s="133">
        <v>55</v>
      </c>
      <c r="B57" s="63" t="s">
        <v>44</v>
      </c>
      <c r="C57" s="43" t="s">
        <v>43</v>
      </c>
      <c r="D57" s="117">
        <v>40.92</v>
      </c>
      <c r="E57" s="117">
        <v>41.314363636363652</v>
      </c>
      <c r="F57" s="114">
        <f t="shared" si="1"/>
        <v>0.39436363636365002</v>
      </c>
      <c r="G57" s="3">
        <v>88</v>
      </c>
      <c r="H57" s="43">
        <v>56</v>
      </c>
    </row>
    <row r="58" spans="1:8" ht="15.75">
      <c r="A58" s="133">
        <v>56</v>
      </c>
      <c r="B58" s="63" t="s">
        <v>14</v>
      </c>
      <c r="C58" s="43" t="s">
        <v>114</v>
      </c>
      <c r="D58" s="117">
        <v>41.07</v>
      </c>
      <c r="E58" s="117">
        <v>41.491428571428564</v>
      </c>
      <c r="F58" s="114">
        <f t="shared" si="1"/>
        <v>0.42142857142856371</v>
      </c>
      <c r="G58" s="43">
        <v>88</v>
      </c>
      <c r="H58" s="43">
        <v>37</v>
      </c>
    </row>
  </sheetData>
  <autoFilter ref="B2:H2">
    <sortState ref="B3:H58">
      <sortCondition ref="G2"/>
    </sortState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Регистрация</vt:lpstr>
      <vt:lpstr>Общие результаты</vt:lpstr>
      <vt:lpstr>Лучшие отрезки</vt:lpstr>
      <vt:lpstr>ЛК по картам</vt:lpstr>
      <vt:lpstr>Выбор картов</vt:lpstr>
      <vt:lpstr>OkApp</vt:lpstr>
      <vt:lpstr>Финики</vt:lpstr>
      <vt:lpstr>Нежданчик</vt:lpstr>
      <vt:lpstr>Тандерболт</vt:lpstr>
      <vt:lpstr>Торнадо</vt:lpstr>
      <vt:lpstr>MST</vt:lpstr>
      <vt:lpstr>FNT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2015-06-20T07:35:54Z</cp:lastPrinted>
  <dcterms:created xsi:type="dcterms:W3CDTF">2012-07-06T15:34:01Z</dcterms:created>
  <dcterms:modified xsi:type="dcterms:W3CDTF">2015-06-27T11:53:47Z</dcterms:modified>
</cp:coreProperties>
</file>